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allen\Desktop\Personal\"/>
    </mc:Choice>
  </mc:AlternateContent>
  <bookViews>
    <workbookView xWindow="0" yWindow="0" windowWidth="28800" windowHeight="11910"/>
  </bookViews>
  <sheets>
    <sheet name="Repull Optimizer" sheetId="1" r:id="rId1"/>
    <sheet name="Upgrade Costs" sheetId="2" r:id="rId2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Y63" i="1"/>
  <c r="X63" i="1"/>
  <c r="Y62" i="1"/>
  <c r="X62" i="1"/>
  <c r="Y61" i="1"/>
  <c r="X61" i="1"/>
  <c r="Y60" i="1"/>
  <c r="X60" i="1" s="1"/>
  <c r="Y59" i="1"/>
  <c r="X59" i="1"/>
  <c r="Y58" i="1"/>
  <c r="X58" i="1"/>
  <c r="Y57" i="1"/>
  <c r="X57" i="1"/>
  <c r="Y56" i="1"/>
  <c r="X56" i="1" s="1"/>
  <c r="Y55" i="1"/>
  <c r="X55" i="1"/>
  <c r="Y54" i="1"/>
  <c r="X54" i="1"/>
  <c r="Y53" i="1"/>
  <c r="X53" i="1"/>
  <c r="Y52" i="1"/>
  <c r="X52" i="1" s="1"/>
  <c r="Y51" i="1"/>
  <c r="X51" i="1"/>
  <c r="Y50" i="1"/>
  <c r="X50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X22" i="1"/>
  <c r="Y21" i="1"/>
  <c r="X21" i="1"/>
  <c r="Y20" i="1"/>
  <c r="X20" i="1"/>
  <c r="Y19" i="1"/>
  <c r="X19" i="1" s="1"/>
  <c r="Y18" i="1"/>
  <c r="X18" i="1"/>
  <c r="Y17" i="1"/>
  <c r="X17" i="1"/>
  <c r="Y16" i="1"/>
  <c r="X16" i="1"/>
  <c r="Y15" i="1"/>
  <c r="X15" i="1" s="1"/>
  <c r="Y14" i="1"/>
  <c r="O71" i="2" l="1"/>
  <c r="N71" i="2"/>
  <c r="L71" i="2"/>
  <c r="F71" i="2"/>
  <c r="E71" i="2"/>
  <c r="D71" i="2"/>
  <c r="C71" i="2"/>
  <c r="S70" i="2"/>
  <c r="R70" i="2"/>
  <c r="P70" i="2"/>
  <c r="M70" i="2"/>
  <c r="J70" i="2"/>
  <c r="I70" i="2"/>
  <c r="H70" i="2"/>
  <c r="G70" i="2"/>
  <c r="S69" i="2"/>
  <c r="R69" i="2"/>
  <c r="P69" i="2"/>
  <c r="M69" i="2"/>
  <c r="J69" i="2"/>
  <c r="I69" i="2"/>
  <c r="H69" i="2"/>
  <c r="G69" i="2"/>
  <c r="S68" i="2"/>
  <c r="R68" i="2"/>
  <c r="P68" i="2"/>
  <c r="M68" i="2"/>
  <c r="J68" i="2"/>
  <c r="I68" i="2"/>
  <c r="H68" i="2"/>
  <c r="G68" i="2"/>
  <c r="S67" i="2"/>
  <c r="R67" i="2"/>
  <c r="P67" i="2"/>
  <c r="M67" i="2"/>
  <c r="J67" i="2"/>
  <c r="I67" i="2"/>
  <c r="H67" i="2"/>
  <c r="G67" i="2"/>
  <c r="S66" i="2"/>
  <c r="R66" i="2"/>
  <c r="P66" i="2"/>
  <c r="M66" i="2"/>
  <c r="J66" i="2"/>
  <c r="I66" i="2"/>
  <c r="H66" i="2"/>
  <c r="G66" i="2"/>
  <c r="S65" i="2"/>
  <c r="R65" i="2"/>
  <c r="P65" i="2"/>
  <c r="M65" i="2"/>
  <c r="J65" i="2"/>
  <c r="I65" i="2"/>
  <c r="H65" i="2"/>
  <c r="G65" i="2"/>
  <c r="S64" i="2"/>
  <c r="R64" i="2"/>
  <c r="P64" i="2"/>
  <c r="M64" i="2"/>
  <c r="J64" i="2"/>
  <c r="I64" i="2"/>
  <c r="H64" i="2"/>
  <c r="G64" i="2"/>
  <c r="S63" i="2"/>
  <c r="R63" i="2"/>
  <c r="P63" i="2"/>
  <c r="M63" i="2"/>
  <c r="J63" i="2"/>
  <c r="I63" i="2"/>
  <c r="H63" i="2"/>
  <c r="G63" i="2"/>
  <c r="S62" i="2"/>
  <c r="R62" i="2"/>
  <c r="P62" i="2"/>
  <c r="M62" i="2"/>
  <c r="J62" i="2"/>
  <c r="I62" i="2"/>
  <c r="H62" i="2"/>
  <c r="G62" i="2"/>
  <c r="S61" i="2"/>
  <c r="R61" i="2"/>
  <c r="P61" i="2"/>
  <c r="J61" i="2"/>
  <c r="I61" i="2"/>
  <c r="H61" i="2"/>
  <c r="G61" i="2"/>
  <c r="S60" i="2"/>
  <c r="R60" i="2"/>
  <c r="P60" i="2"/>
  <c r="M60" i="2"/>
  <c r="J60" i="2"/>
  <c r="I60" i="2"/>
  <c r="H60" i="2"/>
  <c r="G60" i="2"/>
  <c r="S59" i="2"/>
  <c r="R59" i="2"/>
  <c r="P59" i="2"/>
  <c r="M59" i="2"/>
  <c r="J59" i="2"/>
  <c r="I59" i="2"/>
  <c r="H59" i="2"/>
  <c r="G59" i="2"/>
  <c r="S58" i="2"/>
  <c r="F12" i="2" s="1"/>
  <c r="R58" i="2"/>
  <c r="E12" i="2" s="1"/>
  <c r="P58" i="2"/>
  <c r="M58" i="2"/>
  <c r="J58" i="2"/>
  <c r="I58" i="2"/>
  <c r="H58" i="2"/>
  <c r="G58" i="2"/>
  <c r="S57" i="2"/>
  <c r="R57" i="2"/>
  <c r="P57" i="2"/>
  <c r="M57" i="2"/>
  <c r="J57" i="2"/>
  <c r="I57" i="2"/>
  <c r="H57" i="2"/>
  <c r="G57" i="2"/>
  <c r="S56" i="2"/>
  <c r="R56" i="2"/>
  <c r="P56" i="2"/>
  <c r="M56" i="2"/>
  <c r="J56" i="2"/>
  <c r="I56" i="2"/>
  <c r="H56" i="2"/>
  <c r="G56" i="2"/>
  <c r="S55" i="2"/>
  <c r="R55" i="2"/>
  <c r="P55" i="2"/>
  <c r="M55" i="2"/>
  <c r="J55" i="2"/>
  <c r="I55" i="2"/>
  <c r="H55" i="2"/>
  <c r="G55" i="2"/>
  <c r="S54" i="2"/>
  <c r="R54" i="2"/>
  <c r="P54" i="2"/>
  <c r="M54" i="2"/>
  <c r="J54" i="2"/>
  <c r="I54" i="2"/>
  <c r="H54" i="2"/>
  <c r="G54" i="2"/>
  <c r="S53" i="2"/>
  <c r="R53" i="2"/>
  <c r="P53" i="2"/>
  <c r="M53" i="2"/>
  <c r="J53" i="2"/>
  <c r="I53" i="2"/>
  <c r="H53" i="2"/>
  <c r="G53" i="2"/>
  <c r="S52" i="2"/>
  <c r="R52" i="2"/>
  <c r="P52" i="2"/>
  <c r="M52" i="2"/>
  <c r="J52" i="2"/>
  <c r="I52" i="2"/>
  <c r="H52" i="2"/>
  <c r="G52" i="2"/>
  <c r="S51" i="2"/>
  <c r="R51" i="2"/>
  <c r="P51" i="2"/>
  <c r="J51" i="2"/>
  <c r="I51" i="2"/>
  <c r="H51" i="2"/>
  <c r="G51" i="2"/>
  <c r="S50" i="2"/>
  <c r="R50" i="2"/>
  <c r="P50" i="2"/>
  <c r="G43" i="1" s="1"/>
  <c r="M50" i="2"/>
  <c r="J50" i="2"/>
  <c r="I50" i="2"/>
  <c r="H50" i="2"/>
  <c r="G50" i="2"/>
  <c r="S49" i="2"/>
  <c r="R49" i="2"/>
  <c r="P49" i="2"/>
  <c r="G42" i="1" s="1"/>
  <c r="M49" i="2"/>
  <c r="J49" i="2"/>
  <c r="I49" i="2"/>
  <c r="H49" i="2"/>
  <c r="G49" i="2"/>
  <c r="S48" i="2"/>
  <c r="R48" i="2"/>
  <c r="P48" i="2"/>
  <c r="G41" i="1" s="1"/>
  <c r="M48" i="2"/>
  <c r="J48" i="2"/>
  <c r="I48" i="2"/>
  <c r="H48" i="2"/>
  <c r="G48" i="2"/>
  <c r="S47" i="2"/>
  <c r="R47" i="2"/>
  <c r="P47" i="2"/>
  <c r="G40" i="1" s="1"/>
  <c r="M47" i="2"/>
  <c r="J47" i="2"/>
  <c r="I47" i="2"/>
  <c r="H47" i="2"/>
  <c r="G47" i="2"/>
  <c r="S46" i="2"/>
  <c r="R46" i="2"/>
  <c r="P46" i="2"/>
  <c r="G39" i="1" s="1"/>
  <c r="M46" i="2"/>
  <c r="J46" i="2"/>
  <c r="I46" i="2"/>
  <c r="H46" i="2"/>
  <c r="G46" i="2"/>
  <c r="S45" i="2"/>
  <c r="R45" i="2"/>
  <c r="P45" i="2"/>
  <c r="G38" i="1" s="1"/>
  <c r="M45" i="2"/>
  <c r="J45" i="2"/>
  <c r="I45" i="2"/>
  <c r="H45" i="2"/>
  <c r="G45" i="2"/>
  <c r="S44" i="2"/>
  <c r="R44" i="2"/>
  <c r="P44" i="2"/>
  <c r="G37" i="1" s="1"/>
  <c r="M44" i="2"/>
  <c r="J44" i="2"/>
  <c r="I44" i="2"/>
  <c r="H44" i="2"/>
  <c r="G44" i="2"/>
  <c r="S43" i="2"/>
  <c r="R43" i="2"/>
  <c r="P43" i="2"/>
  <c r="G36" i="1" s="1"/>
  <c r="M43" i="2"/>
  <c r="J43" i="2"/>
  <c r="I43" i="2"/>
  <c r="H43" i="2"/>
  <c r="G43" i="2"/>
  <c r="S42" i="2"/>
  <c r="R42" i="2"/>
  <c r="P42" i="2"/>
  <c r="G35" i="1" s="1"/>
  <c r="M42" i="2"/>
  <c r="J42" i="2"/>
  <c r="I42" i="2"/>
  <c r="H42" i="2"/>
  <c r="G42" i="2"/>
  <c r="AA41" i="2"/>
  <c r="Z41" i="2"/>
  <c r="Y41" i="2"/>
  <c r="X41" i="2"/>
  <c r="W41" i="2"/>
  <c r="V41" i="2"/>
  <c r="S41" i="2"/>
  <c r="R41" i="2"/>
  <c r="P41" i="2"/>
  <c r="J41" i="2"/>
  <c r="I41" i="2"/>
  <c r="H41" i="2"/>
  <c r="G41" i="2"/>
  <c r="S40" i="2"/>
  <c r="R40" i="2"/>
  <c r="P40" i="2"/>
  <c r="M40" i="2"/>
  <c r="J40" i="2"/>
  <c r="I40" i="2"/>
  <c r="H40" i="2"/>
  <c r="G40" i="2"/>
  <c r="S39" i="2"/>
  <c r="R39" i="2"/>
  <c r="P39" i="2"/>
  <c r="M39" i="2"/>
  <c r="J39" i="2"/>
  <c r="I39" i="2"/>
  <c r="H39" i="2"/>
  <c r="G39" i="2"/>
  <c r="S38" i="2"/>
  <c r="R38" i="2"/>
  <c r="P38" i="2"/>
  <c r="M38" i="2"/>
  <c r="J38" i="2"/>
  <c r="I38" i="2"/>
  <c r="H38" i="2"/>
  <c r="G38" i="2"/>
  <c r="S37" i="2"/>
  <c r="R37" i="2"/>
  <c r="P37" i="2"/>
  <c r="M37" i="2"/>
  <c r="J37" i="2"/>
  <c r="I37" i="2"/>
  <c r="H37" i="2"/>
  <c r="G37" i="2"/>
  <c r="S36" i="2"/>
  <c r="R36" i="2"/>
  <c r="P36" i="2"/>
  <c r="M36" i="2"/>
  <c r="J36" i="2"/>
  <c r="I36" i="2"/>
  <c r="H36" i="2"/>
  <c r="G36" i="2"/>
  <c r="S35" i="2"/>
  <c r="R35" i="2"/>
  <c r="P35" i="2"/>
  <c r="M35" i="2"/>
  <c r="J35" i="2"/>
  <c r="I35" i="2"/>
  <c r="H35" i="2"/>
  <c r="G35" i="2"/>
  <c r="S34" i="2"/>
  <c r="R34" i="2"/>
  <c r="P34" i="2"/>
  <c r="M34" i="2"/>
  <c r="J34" i="2"/>
  <c r="I34" i="2"/>
  <c r="H34" i="2"/>
  <c r="G34" i="2"/>
  <c r="S33" i="2"/>
  <c r="R33" i="2"/>
  <c r="P33" i="2"/>
  <c r="M33" i="2"/>
  <c r="J33" i="2"/>
  <c r="I33" i="2"/>
  <c r="H33" i="2"/>
  <c r="G33" i="2"/>
  <c r="S32" i="2"/>
  <c r="R32" i="2"/>
  <c r="P32" i="2"/>
  <c r="M32" i="2"/>
  <c r="J32" i="2"/>
  <c r="I32" i="2"/>
  <c r="H32" i="2"/>
  <c r="G32" i="2"/>
  <c r="S31" i="2"/>
  <c r="R31" i="2"/>
  <c r="P31" i="2"/>
  <c r="J31" i="2"/>
  <c r="I31" i="2"/>
  <c r="H31" i="2"/>
  <c r="G31" i="2"/>
  <c r="S30" i="2"/>
  <c r="R30" i="2"/>
  <c r="P30" i="2"/>
  <c r="M30" i="2"/>
  <c r="J30" i="2"/>
  <c r="I30" i="2"/>
  <c r="H30" i="2"/>
  <c r="G30" i="2"/>
  <c r="S29" i="2"/>
  <c r="R29" i="2"/>
  <c r="P29" i="2"/>
  <c r="M29" i="2"/>
  <c r="J29" i="2"/>
  <c r="I29" i="2"/>
  <c r="H29" i="2"/>
  <c r="G29" i="2"/>
  <c r="S28" i="2"/>
  <c r="R28" i="2"/>
  <c r="P28" i="2"/>
  <c r="M28" i="2"/>
  <c r="J28" i="2"/>
  <c r="I28" i="2"/>
  <c r="H28" i="2"/>
  <c r="G28" i="2"/>
  <c r="S27" i="2"/>
  <c r="R27" i="2"/>
  <c r="P27" i="2"/>
  <c r="M27" i="2"/>
  <c r="J27" i="2"/>
  <c r="I27" i="2"/>
  <c r="H27" i="2"/>
  <c r="G27" i="2"/>
  <c r="S26" i="2"/>
  <c r="R26" i="2"/>
  <c r="P26" i="2"/>
  <c r="M26" i="2"/>
  <c r="J26" i="2"/>
  <c r="I26" i="2"/>
  <c r="H26" i="2"/>
  <c r="G26" i="2"/>
  <c r="S25" i="2"/>
  <c r="R25" i="2"/>
  <c r="P25" i="2"/>
  <c r="M25" i="2"/>
  <c r="J25" i="2"/>
  <c r="I25" i="2"/>
  <c r="H25" i="2"/>
  <c r="G25" i="2"/>
  <c r="S24" i="2"/>
  <c r="R24" i="2"/>
  <c r="P24" i="2"/>
  <c r="M24" i="2"/>
  <c r="J24" i="2"/>
  <c r="I24" i="2"/>
  <c r="H24" i="2"/>
  <c r="G24" i="2"/>
  <c r="U23" i="2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S23" i="2"/>
  <c r="R23" i="2"/>
  <c r="P23" i="2"/>
  <c r="M23" i="2"/>
  <c r="J23" i="2"/>
  <c r="I23" i="2"/>
  <c r="H23" i="2"/>
  <c r="G23" i="2"/>
  <c r="U22" i="2"/>
  <c r="S22" i="2"/>
  <c r="R22" i="2"/>
  <c r="P22" i="2"/>
  <c r="M22" i="2"/>
  <c r="Q67" i="2" s="1"/>
  <c r="J22" i="2"/>
  <c r="I22" i="2"/>
  <c r="H22" i="2"/>
  <c r="G22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C12" i="2"/>
  <c r="F11" i="2"/>
  <c r="E11" i="2"/>
  <c r="D11" i="2"/>
  <c r="C11" i="2"/>
  <c r="I63" i="1"/>
  <c r="H63" i="1"/>
  <c r="G63" i="1"/>
  <c r="F63" i="1"/>
  <c r="Q62" i="1"/>
  <c r="I62" i="1"/>
  <c r="H62" i="1"/>
  <c r="G62" i="1"/>
  <c r="F62" i="1"/>
  <c r="Q61" i="1"/>
  <c r="Q60" i="1" s="1"/>
  <c r="I61" i="1"/>
  <c r="H61" i="1"/>
  <c r="G61" i="1"/>
  <c r="F61" i="1"/>
  <c r="I60" i="1"/>
  <c r="H60" i="1"/>
  <c r="G60" i="1"/>
  <c r="F60" i="1"/>
  <c r="Q59" i="1"/>
  <c r="Q58" i="1" s="1"/>
  <c r="Q57" i="1" s="1"/>
  <c r="Q56" i="1" s="1"/>
  <c r="Q55" i="1" s="1"/>
  <c r="Q54" i="1" s="1"/>
  <c r="Q53" i="1" s="1"/>
  <c r="Q52" i="1" s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Q51" i="1"/>
  <c r="Q50" i="1" s="1"/>
  <c r="Q49" i="1" s="1"/>
  <c r="Q48" i="1" s="1"/>
  <c r="Q47" i="1" s="1"/>
  <c r="Q46" i="1" s="1"/>
  <c r="Q45" i="1" s="1"/>
  <c r="Q44" i="1" s="1"/>
  <c r="Q43" i="1" s="1"/>
  <c r="Q42" i="1" s="1"/>
  <c r="Q41" i="1" s="1"/>
  <c r="Q40" i="1" s="1"/>
  <c r="Q39" i="1" s="1"/>
  <c r="Q38" i="1" s="1"/>
  <c r="Q37" i="1" s="1"/>
  <c r="Q36" i="1" s="1"/>
  <c r="Q35" i="1" s="1"/>
  <c r="Q34" i="1" s="1"/>
  <c r="Q33" i="1" s="1"/>
  <c r="Q32" i="1" s="1"/>
  <c r="Q31" i="1" s="1"/>
  <c r="Q30" i="1" s="1"/>
  <c r="Q29" i="1" s="1"/>
  <c r="Q28" i="1" s="1"/>
  <c r="Q27" i="1" s="1"/>
  <c r="Q26" i="1" s="1"/>
  <c r="Q25" i="1" s="1"/>
  <c r="Q24" i="1" s="1"/>
  <c r="Q23" i="1" s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F43" i="1"/>
  <c r="I42" i="1"/>
  <c r="H42" i="1"/>
  <c r="F42" i="1"/>
  <c r="I41" i="1"/>
  <c r="H41" i="1"/>
  <c r="F41" i="1"/>
  <c r="I40" i="1"/>
  <c r="H40" i="1"/>
  <c r="F40" i="1"/>
  <c r="I39" i="1"/>
  <c r="H39" i="1"/>
  <c r="F39" i="1"/>
  <c r="I38" i="1"/>
  <c r="H38" i="1"/>
  <c r="F38" i="1"/>
  <c r="I37" i="1"/>
  <c r="H37" i="1"/>
  <c r="F37" i="1"/>
  <c r="I36" i="1"/>
  <c r="H36" i="1"/>
  <c r="F36" i="1"/>
  <c r="D36" i="1"/>
  <c r="I35" i="1"/>
  <c r="H35" i="1"/>
  <c r="F35" i="1"/>
  <c r="D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D24" i="1"/>
  <c r="D25" i="1" s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V13" i="1"/>
  <c r="V55" i="1" s="1"/>
  <c r="U13" i="1"/>
  <c r="U44" i="1" s="1"/>
  <c r="U26" i="1" l="1"/>
  <c r="U17" i="1"/>
  <c r="U16" i="1"/>
  <c r="V37" i="1"/>
  <c r="U18" i="1"/>
  <c r="U19" i="1"/>
  <c r="V21" i="1"/>
  <c r="V25" i="1"/>
  <c r="U48" i="1"/>
  <c r="U22" i="1"/>
  <c r="V47" i="1"/>
  <c r="V39" i="1"/>
  <c r="U32" i="1"/>
  <c r="U33" i="1"/>
  <c r="V45" i="1"/>
  <c r="V27" i="1"/>
  <c r="U38" i="1"/>
  <c r="U15" i="1"/>
  <c r="U57" i="1"/>
  <c r="U58" i="1"/>
  <c r="V15" i="1"/>
  <c r="V17" i="1"/>
  <c r="U27" i="1"/>
  <c r="U46" i="1"/>
  <c r="U56" i="1"/>
  <c r="U63" i="1"/>
  <c r="U23" i="1"/>
  <c r="U20" i="1"/>
  <c r="U41" i="1"/>
  <c r="U28" i="1"/>
  <c r="U42" i="1"/>
  <c r="U43" i="1"/>
  <c r="U14" i="1"/>
  <c r="R14" i="1" s="1"/>
  <c r="U52" i="1"/>
  <c r="U60" i="1"/>
  <c r="U61" i="1"/>
  <c r="U53" i="1"/>
  <c r="U45" i="1"/>
  <c r="U37" i="1"/>
  <c r="U31" i="1"/>
  <c r="U62" i="1"/>
  <c r="U47" i="1"/>
  <c r="U39" i="1"/>
  <c r="U25" i="1"/>
  <c r="U40" i="1"/>
  <c r="U54" i="1"/>
  <c r="U55" i="1"/>
  <c r="V58" i="1"/>
  <c r="V50" i="1"/>
  <c r="V42" i="1"/>
  <c r="V34" i="1"/>
  <c r="V28" i="1"/>
  <c r="V16" i="1"/>
  <c r="V59" i="1"/>
  <c r="V51" i="1"/>
  <c r="V43" i="1"/>
  <c r="V35" i="1"/>
  <c r="V29" i="1"/>
  <c r="V60" i="1"/>
  <c r="V52" i="1"/>
  <c r="V44" i="1"/>
  <c r="V36" i="1"/>
  <c r="V30" i="1"/>
  <c r="V22" i="1"/>
  <c r="V53" i="1"/>
  <c r="V61" i="1"/>
  <c r="V62" i="1"/>
  <c r="V54" i="1"/>
  <c r="V46" i="1"/>
  <c r="V38" i="1"/>
  <c r="V32" i="1"/>
  <c r="V23" i="1"/>
  <c r="V20" i="1"/>
  <c r="V63" i="1"/>
  <c r="V56" i="1"/>
  <c r="V48" i="1"/>
  <c r="V40" i="1"/>
  <c r="V33" i="1"/>
  <c r="V26" i="1"/>
  <c r="V57" i="1"/>
  <c r="V49" i="1"/>
  <c r="V41" i="1"/>
  <c r="V18" i="1"/>
  <c r="V24" i="1"/>
  <c r="U29" i="1"/>
  <c r="U34" i="1"/>
  <c r="U21" i="1"/>
  <c r="V31" i="1"/>
  <c r="U35" i="1"/>
  <c r="U51" i="1"/>
  <c r="U24" i="1"/>
  <c r="U30" i="1"/>
  <c r="V14" i="1"/>
  <c r="S14" i="1" s="1"/>
  <c r="V19" i="1"/>
  <c r="D26" i="1"/>
  <c r="D37" i="1"/>
  <c r="U36" i="1"/>
  <c r="U49" i="1"/>
  <c r="U50" i="1"/>
  <c r="U59" i="1"/>
  <c r="Q22" i="2"/>
  <c r="Q30" i="2"/>
  <c r="Q33" i="2"/>
  <c r="Q51" i="2"/>
  <c r="Q55" i="2"/>
  <c r="Q59" i="2"/>
  <c r="Q25" i="2"/>
  <c r="Q36" i="2"/>
  <c r="Q43" i="2"/>
  <c r="Q47" i="2"/>
  <c r="Q64" i="2"/>
  <c r="Q68" i="2"/>
  <c r="Q28" i="2"/>
  <c r="Q31" i="2"/>
  <c r="Q39" i="2"/>
  <c r="Q52" i="2"/>
  <c r="Q56" i="2"/>
  <c r="Q60" i="2"/>
  <c r="Q23" i="2"/>
  <c r="Q34" i="2"/>
  <c r="Q44" i="2"/>
  <c r="Q48" i="2"/>
  <c r="Q61" i="2"/>
  <c r="Q65" i="2"/>
  <c r="Q69" i="2"/>
  <c r="Q26" i="2"/>
  <c r="Q37" i="2"/>
  <c r="Q53" i="2"/>
  <c r="Q57" i="2"/>
  <c r="Q29" i="2"/>
  <c r="Q32" i="2"/>
  <c r="Q40" i="2"/>
  <c r="Q45" i="2"/>
  <c r="Q49" i="2"/>
  <c r="Q62" i="2"/>
  <c r="Q66" i="2"/>
  <c r="Q70" i="2"/>
  <c r="M71" i="2"/>
  <c r="Q24" i="2"/>
  <c r="Q35" i="2"/>
  <c r="Q54" i="2"/>
  <c r="Q58" i="2"/>
  <c r="D12" i="2" s="1"/>
  <c r="Q27" i="2"/>
  <c r="Q38" i="2"/>
  <c r="Q41" i="2"/>
  <c r="Q42" i="2"/>
  <c r="Q46" i="2"/>
  <c r="Q50" i="2"/>
  <c r="Q63" i="2"/>
  <c r="D38" i="1" l="1"/>
  <c r="D27" i="1"/>
  <c r="S22" i="1"/>
  <c r="S23" i="1"/>
  <c r="S24" i="1" s="1"/>
  <c r="S25" i="1" s="1"/>
  <c r="S26" i="1" s="1"/>
  <c r="S27" i="1" s="1"/>
  <c r="S28" i="1" s="1"/>
  <c r="S15" i="1"/>
  <c r="S16" i="1" s="1"/>
  <c r="S17" i="1" s="1"/>
  <c r="S18" i="1" s="1"/>
  <c r="S19" i="1" s="1"/>
  <c r="S20" i="1" s="1"/>
  <c r="S21" i="1" s="1"/>
  <c r="R15" i="1"/>
  <c r="R16" i="1" s="1"/>
  <c r="R17" i="1" s="1"/>
  <c r="J14" i="1" s="1"/>
  <c r="L14" i="1" s="1"/>
  <c r="R22" i="1"/>
  <c r="R23" i="1" l="1"/>
  <c r="R18" i="1"/>
  <c r="J15" i="1" s="1"/>
  <c r="L15" i="1" s="1"/>
  <c r="M14" i="1"/>
  <c r="D28" i="1"/>
  <c r="S33" i="1"/>
  <c r="S34" i="1" s="1"/>
  <c r="S35" i="1" s="1"/>
  <c r="S36" i="1" s="1"/>
  <c r="S37" i="1" s="1"/>
  <c r="S38" i="1" s="1"/>
  <c r="S29" i="1"/>
  <c r="S30" i="1" s="1"/>
  <c r="S31" i="1" s="1"/>
  <c r="S32" i="1" s="1"/>
  <c r="D39" i="1"/>
  <c r="D40" i="1" l="1"/>
  <c r="R19" i="1"/>
  <c r="J16" i="1" s="1"/>
  <c r="L16" i="1" s="1"/>
  <c r="M15" i="1"/>
  <c r="S41" i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39" i="1"/>
  <c r="S40" i="1" s="1"/>
  <c r="R24" i="1"/>
  <c r="D29" i="1"/>
  <c r="R20" i="1" l="1"/>
  <c r="J17" i="1" s="1"/>
  <c r="L17" i="1" s="1"/>
  <c r="M16" i="1"/>
  <c r="R25" i="1"/>
  <c r="D41" i="1"/>
  <c r="D30" i="1"/>
  <c r="D42" i="1" l="1"/>
  <c r="D31" i="1"/>
  <c r="R26" i="1"/>
  <c r="R21" i="1"/>
  <c r="M17" i="1"/>
  <c r="M18" i="1" l="1"/>
  <c r="J18" i="1"/>
  <c r="L18" i="1" s="1"/>
  <c r="D32" i="1"/>
  <c r="D43" i="1"/>
  <c r="R27" i="1"/>
  <c r="M19" i="1" s="1"/>
  <c r="J19" i="1" l="1"/>
  <c r="L19" i="1" s="1"/>
  <c r="D44" i="1"/>
  <c r="R28" i="1"/>
  <c r="M20" i="1" s="1"/>
  <c r="J25" i="1" l="1"/>
  <c r="L25" i="1" s="1"/>
  <c r="J20" i="1"/>
  <c r="L20" i="1" s="1"/>
  <c r="R33" i="1"/>
  <c r="R29" i="1"/>
  <c r="M21" i="1" s="1"/>
  <c r="M25" i="1"/>
  <c r="D45" i="1"/>
  <c r="J26" i="1" l="1"/>
  <c r="L26" i="1" s="1"/>
  <c r="J21" i="1"/>
  <c r="L21" i="1" s="1"/>
  <c r="D46" i="1"/>
  <c r="R30" i="1"/>
  <c r="M22" i="1" s="1"/>
  <c r="M26" i="1"/>
  <c r="R34" i="1"/>
  <c r="J27" i="1" l="1"/>
  <c r="L27" i="1" s="1"/>
  <c r="J22" i="1"/>
  <c r="L22" i="1" s="1"/>
  <c r="R35" i="1"/>
  <c r="R31" i="1"/>
  <c r="M23" i="1" s="1"/>
  <c r="M27" i="1"/>
  <c r="D47" i="1"/>
  <c r="J28" i="1" l="1"/>
  <c r="L28" i="1" s="1"/>
  <c r="J23" i="1"/>
  <c r="L23" i="1" s="1"/>
  <c r="D48" i="1"/>
  <c r="R32" i="1"/>
  <c r="M28" i="1"/>
  <c r="R36" i="1"/>
  <c r="J24" i="1" l="1"/>
  <c r="L24" i="1" s="1"/>
  <c r="M24" i="1"/>
  <c r="J29" i="1"/>
  <c r="L29" i="1" s="1"/>
  <c r="R37" i="1"/>
  <c r="M29" i="1" s="1"/>
  <c r="D49" i="1"/>
  <c r="R38" i="1" l="1"/>
  <c r="M30" i="1" s="1"/>
  <c r="D50" i="1"/>
  <c r="J30" i="1" l="1"/>
  <c r="L30" i="1" s="1"/>
  <c r="R39" i="1"/>
  <c r="M31" i="1" s="1"/>
  <c r="R41" i="1"/>
  <c r="M33" i="1" s="1"/>
  <c r="D51" i="1"/>
  <c r="J33" i="1" l="1"/>
  <c r="L33" i="1" s="1"/>
  <c r="J31" i="1"/>
  <c r="L31" i="1" s="1"/>
  <c r="R40" i="1"/>
  <c r="R42" i="1"/>
  <c r="M34" i="1" s="1"/>
  <c r="D52" i="1"/>
  <c r="J32" i="1" l="1"/>
  <c r="L32" i="1" s="1"/>
  <c r="M32" i="1"/>
  <c r="J34" i="1"/>
  <c r="L34" i="1" s="1"/>
  <c r="D53" i="1"/>
  <c r="R43" i="1"/>
  <c r="M35" i="1" s="1"/>
  <c r="J35" i="1" l="1"/>
  <c r="L35" i="1" s="1"/>
  <c r="R44" i="1"/>
  <c r="M36" i="1" s="1"/>
  <c r="D54" i="1"/>
  <c r="J36" i="1" l="1"/>
  <c r="L36" i="1" s="1"/>
  <c r="R45" i="1"/>
  <c r="M37" i="1" s="1"/>
  <c r="D55" i="1"/>
  <c r="J37" i="1" l="1"/>
  <c r="L37" i="1" s="1"/>
  <c r="D56" i="1"/>
  <c r="R46" i="1"/>
  <c r="M38" i="1" s="1"/>
  <c r="J38" i="1" l="1"/>
  <c r="L38" i="1" s="1"/>
  <c r="R47" i="1"/>
  <c r="M39" i="1" s="1"/>
  <c r="D57" i="1"/>
  <c r="J39" i="1" l="1"/>
  <c r="L39" i="1" s="1"/>
  <c r="D58" i="1"/>
  <c r="R48" i="1"/>
  <c r="M40" i="1" s="1"/>
  <c r="J40" i="1" l="1"/>
  <c r="L40" i="1" s="1"/>
  <c r="R49" i="1"/>
  <c r="M41" i="1" s="1"/>
  <c r="D59" i="1"/>
  <c r="J41" i="1" l="1"/>
  <c r="L41" i="1" s="1"/>
  <c r="D60" i="1"/>
  <c r="R50" i="1"/>
  <c r="M42" i="1" s="1"/>
  <c r="J42" i="1" l="1"/>
  <c r="L42" i="1" s="1"/>
  <c r="R51" i="1"/>
  <c r="M43" i="1" s="1"/>
  <c r="D61" i="1"/>
  <c r="J43" i="1" l="1"/>
  <c r="L43" i="1" s="1"/>
  <c r="D62" i="1"/>
  <c r="R52" i="1"/>
  <c r="M44" i="1" s="1"/>
  <c r="J44" i="1" l="1"/>
  <c r="L44" i="1" s="1"/>
  <c r="D63" i="1"/>
  <c r="R53" i="1"/>
  <c r="M45" i="1" s="1"/>
  <c r="J45" i="1" l="1"/>
  <c r="L45" i="1" s="1"/>
  <c r="R54" i="1"/>
  <c r="M46" i="1" s="1"/>
  <c r="J46" i="1" l="1"/>
  <c r="L46" i="1" s="1"/>
  <c r="R55" i="1"/>
  <c r="M47" i="1" s="1"/>
  <c r="J47" i="1" l="1"/>
  <c r="L47" i="1" s="1"/>
  <c r="R56" i="1"/>
  <c r="M48" i="1" s="1"/>
  <c r="J48" i="1" l="1"/>
  <c r="L48" i="1" s="1"/>
  <c r="R57" i="1"/>
  <c r="M49" i="1" s="1"/>
  <c r="J49" i="1" l="1"/>
  <c r="L49" i="1" s="1"/>
  <c r="R58" i="1"/>
  <c r="M50" i="1" s="1"/>
  <c r="J50" i="1" l="1"/>
  <c r="L50" i="1" s="1"/>
  <c r="R59" i="1"/>
  <c r="M51" i="1" s="1"/>
  <c r="J51" i="1" l="1"/>
  <c r="L51" i="1" s="1"/>
  <c r="R60" i="1"/>
  <c r="M52" i="1" s="1"/>
  <c r="J52" i="1" l="1"/>
  <c r="L52" i="1" s="1"/>
  <c r="R61" i="1"/>
  <c r="M53" i="1" s="1"/>
  <c r="J53" i="1" l="1"/>
  <c r="L53" i="1" s="1"/>
  <c r="R62" i="1"/>
  <c r="M54" i="1" l="1"/>
  <c r="M55" i="1"/>
  <c r="M56" i="1"/>
  <c r="M57" i="1"/>
  <c r="M58" i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3" i="1"/>
  <c r="L63" i="1" s="1"/>
  <c r="J60" i="1"/>
  <c r="L60" i="1" s="1"/>
  <c r="J62" i="1"/>
  <c r="L62" i="1" s="1"/>
  <c r="J61" i="1"/>
  <c r="L61" i="1" s="1"/>
  <c r="R63" i="1"/>
  <c r="M59" i="1"/>
  <c r="M60" i="1"/>
  <c r="M61" i="1"/>
  <c r="M62" i="1"/>
  <c r="M63" i="1"/>
  <c r="G9" i="1" l="1"/>
</calcChain>
</file>

<file path=xl/sharedStrings.xml><?xml version="1.0" encoding="utf-8"?>
<sst xmlns="http://schemas.openxmlformats.org/spreadsheetml/2006/main" count="238" uniqueCount="97">
  <si>
    <t>Player Type</t>
  </si>
  <si>
    <t>PXP</t>
  </si>
  <si>
    <t>Max Rating</t>
  </si>
  <si>
    <t>Expected # of Pulls</t>
  </si>
  <si>
    <t>Discount %</t>
  </si>
  <si>
    <t>Level Cap Player?</t>
  </si>
  <si>
    <t>Yes</t>
  </si>
  <si>
    <t>Skills Cap Player?</t>
  </si>
  <si>
    <t>Trade-In Player?</t>
  </si>
  <si>
    <t>No</t>
  </si>
  <si>
    <t>Optimal Initial Level</t>
  </si>
  <si>
    <t>Trade-In Values</t>
  </si>
  <si>
    <t>Levelling Outflow</t>
  </si>
  <si>
    <t>Skills Outflow</t>
  </si>
  <si>
    <t>Inflow</t>
  </si>
  <si>
    <t>Net Inflow/(Outflow)</t>
  </si>
  <si>
    <t>BXP</t>
  </si>
  <si>
    <t>Prime</t>
  </si>
  <si>
    <t>Cycles</t>
  </si>
  <si>
    <t>Initial Level</t>
  </si>
  <si>
    <t>BXP Cost</t>
  </si>
  <si>
    <t>BXP Gain</t>
  </si>
  <si>
    <t>BXP Cum</t>
  </si>
  <si>
    <t>PXP Cum</t>
  </si>
  <si>
    <t>BXP Multiplier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</si>
  <si>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</si>
  <si>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</si>
  <si>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</si>
  <si>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</si>
  <si>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</si>
  <si>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</si>
  <si>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</si>
  <si>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</si>
  <si>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</si>
  <si>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</si>
  <si>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</si>
  <si>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</si>
  <si>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</si>
  <si>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</si>
  <si>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</si>
  <si>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</si>
  <si>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</si>
  <si>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</si>
  <si>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</si>
  <si>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</si>
  <si>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</si>
  <si>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</si>
  <si>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</si>
  <si>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</si>
  <si>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</si>
  <si>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</si>
  <si>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</si>
  <si>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</si>
  <si>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</si>
  <si>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</si>
  <si>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</si>
  <si>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</si>
  <si>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</si>
  <si>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</si>
  <si>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</si>
  <si>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</si>
  <si>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</si>
  <si>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</si>
  <si>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</si>
  <si>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</si>
  <si>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</si>
  <si>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</si>
  <si>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</si>
  <si>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</si>
  <si>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</si>
  <si>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</si>
  <si>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</si>
  <si>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</si>
  <si>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</si>
  <si>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</si>
  <si>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Inputs</t>
  </si>
  <si>
    <t>Current Level</t>
  </si>
  <si>
    <t>Target Level</t>
  </si>
  <si>
    <t>Resource Requirements</t>
  </si>
  <si>
    <t>XP</t>
  </si>
  <si>
    <t>Cash</t>
  </si>
  <si>
    <t>Gold</t>
  </si>
  <si>
    <t>Evo</t>
  </si>
  <si>
    <t>LXP</t>
  </si>
  <si>
    <t>ATG</t>
  </si>
  <si>
    <t>Keeper</t>
  </si>
  <si>
    <t>My Legend</t>
  </si>
  <si>
    <t>PXP/LXP</t>
  </si>
  <si>
    <t>Skills</t>
  </si>
  <si>
    <t>Incremental</t>
  </si>
  <si>
    <t>Cumulative</t>
  </si>
  <si>
    <t>Level</t>
  </si>
  <si>
    <t>Totals</t>
  </si>
  <si>
    <t xml:space="preserve"> </t>
  </si>
  <si>
    <t>PXP/LXP Multiplier</t>
  </si>
  <si>
    <t>PXP/LXP Cost</t>
  </si>
  <si>
    <t>PXP/LXP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</si>
</sst>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 applyAlignment="1">
      <alignment horizontal="right"/>
    </xf>
    <xf numFmtId="43" fontId="0" fillId="0" borderId="0" xfId="0" applyNumberFormat="1"/>
    <xf numFmtId="0" fontId="0" fillId="2" borderId="0" xfId="0" applyFill="1"/>
    <xf numFmtId="9" fontId="0" fillId="2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  <xf numFmtId="41" fontId="0" fillId="3" borderId="0" xfId="0" applyNumberFormat="1" applyFill="1" applyAlignment="1">
      <alignment horizontal="right"/>
    </xf>
    <xf numFmtId="4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0" xfId="0" applyNumberFormat="1" applyFill="1"/>
    <xf numFmtId="0" fontId="0" fillId="0" borderId="0" xfId="0" applyFill="1" applyAlignment="1">
      <alignment horizontal="center"/>
    </xf>
    <xf numFmtId="43" fontId="0" fillId="0" borderId="0" xfId="0" applyNumberFormat="1" applyFill="1"/>
    <xf numFmtId="0" fontId="0" fillId="0" borderId="0" xfId="0" applyBorder="1"/>
    <xf numFmtId="0" fontId="0" fillId="0" borderId="0" xfId="0" applyBorder="1" applyAlignment="1">
      <alignment horizontal="center"/>
    </xf>
    <xf numFmtId="37" fontId="0" fillId="0" borderId="0" xfId="0" applyNumberFormat="1" applyFill="1"/>
    <xf numFmtId="41" fontId="0" fillId="0" borderId="0" xfId="0" applyNumberFormat="1" applyBorder="1"/>
    <xf numFmtId="0" fontId="0" fillId="0" borderId="0" xfId="0" applyFill="1"/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0" fontId="3" fillId="4" borderId="0" xfId="0" applyFont="1" applyFill="1"/>
    <xf numFmtId="0" fontId="2" fillId="4" borderId="0" xfId="0" applyFont="1" applyFill="1"/>
    <xf numFmtId="0" fontId="4" fillId="4" borderId="4" xfId="0" applyFont="1" applyFill="1" applyBorder="1" applyAlignment="1">
      <alignment horizontal="center"/>
    </xf>
    <xf numFmtId="0" fontId="4" fillId="4" borderId="0" xfId="0" applyFont="1" applyFill="1"/>
    <xf numFmtId="41" fontId="2" fillId="4" borderId="0" xfId="0" applyNumberFormat="1" applyFont="1" applyFill="1"/>
    <xf numFmtId="0" fontId="1" fillId="0" borderId="0" xfId="0" applyFont="1" applyFill="1"/>
    <xf numFmtId="0" fontId="6" fillId="0" borderId="0" xfId="0" applyFont="1" applyFill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6" xfId="0" applyNumberFormat="1" applyBorder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A76"/>
  <sheetViews>
    <sheetView tabSelected="1" topLeftCell="E1" workbookViewId="0">
      <selection activeCell="G5" sqref="G5"/>
    </sheetView>
  </sheetViews>
  <sheetFormatPr defaultRowHeight="15" outlineLevelCol="1" x14ac:dyDescent="0.25"/>
  <cols>
    <col min="4" max="4" width="6.5703125" bestFit="1" customWidth="1"/>
    <col min="5" max="5" width="10.7109375" customWidth="1"/>
    <col min="6" max="13" width="15.7109375" customWidth="1"/>
    <col min="17" max="17" width="9.140625" hidden="1" customWidth="1" outlineLevel="1"/>
    <col min="18" max="18" width="10.5703125" hidden="1" customWidth="1" outlineLevel="1"/>
    <col min="19" max="20" width="9.140625" hidden="1" customWidth="1" outlineLevel="1"/>
    <col min="21" max="22" width="12.7109375" hidden="1" customWidth="1" outlineLevel="1"/>
    <col min="23" max="24" width="9.140625" hidden="1" customWidth="1" outlineLevel="1"/>
    <col min="25" max="25" width="9.140625" style="2" hidden="1" customWidth="1" outlineLevel="1"/>
    <col min="26" max="26" width="10.5703125" bestFit="1" customWidth="1" collapsed="1"/>
    <col min="27" max="27" width="10.5703125" bestFit="1" customWidth="1"/>
  </cols>
  <sheetData>
    <row r="2" spans="4:26" x14ac:dyDescent="0.25">
      <c r="E2" t="s">
        <v>0</v>
      </c>
      <c r="G2" s="1" t="s">
        <v>83</v>
      </c>
    </row>
    <row r="3" spans="4:26" x14ac:dyDescent="0.25">
      <c r="E3" t="s">
        <v>2</v>
      </c>
      <c r="G3" s="1">
        <v>550</v>
      </c>
    </row>
    <row r="4" spans="4:26" x14ac:dyDescent="0.25">
      <c r="E4" t="s">
        <v>3</v>
      </c>
      <c r="G4" s="3">
        <v>7</v>
      </c>
    </row>
    <row r="5" spans="4:26" x14ac:dyDescent="0.25">
      <c r="E5" t="s">
        <v>4</v>
      </c>
      <c r="G5" s="4">
        <v>0.6</v>
      </c>
      <c r="K5" s="5"/>
    </row>
    <row r="6" spans="4:26" x14ac:dyDescent="0.25">
      <c r="E6" t="s">
        <v>5</v>
      </c>
      <c r="G6" s="4" t="s">
        <v>9</v>
      </c>
      <c r="K6" s="5"/>
    </row>
    <row r="7" spans="4:26" x14ac:dyDescent="0.25">
      <c r="E7" t="s">
        <v>7</v>
      </c>
      <c r="G7" s="4" t="s">
        <v>9</v>
      </c>
      <c r="K7" s="5"/>
    </row>
    <row r="8" spans="4:26" x14ac:dyDescent="0.25">
      <c r="E8" t="s">
        <v>8</v>
      </c>
      <c r="G8" s="4" t="s">
        <v>6</v>
      </c>
      <c r="K8" s="5"/>
    </row>
    <row r="9" spans="4:26" x14ac:dyDescent="0.25">
      <c r="E9" t="s">
        <v>10</v>
      </c>
      <c r="G9" s="6" t="str">
        <f>IF($G$2="BXP",VLOOKUP(SUMIF($L$14:$L$63,MAX($L$14:$L$63),$D$14:$D$63),$D$14:$E$63,2,FALSE),VLOOKUP(SUMIF($M$14:$M$63,MAX($M$14:$M$63),$D$14:$D$63),$D$14:$E$63,2,FALSE))</f>
        <v>D1</v>
      </c>
      <c r="H9" s="7"/>
      <c r="K9" s="8"/>
    </row>
    <row r="10" spans="4:26" x14ac:dyDescent="0.25">
      <c r="K10" s="8"/>
      <c r="R10" s="7"/>
    </row>
    <row r="11" spans="4:26" x14ac:dyDescent="0.25">
      <c r="J11" s="8"/>
      <c r="K11" s="8"/>
      <c r="U11" s="41" t="s">
        <v>11</v>
      </c>
      <c r="V11" s="42"/>
    </row>
    <row r="12" spans="4:26" x14ac:dyDescent="0.25">
      <c r="F12" s="43" t="s">
        <v>12</v>
      </c>
      <c r="G12" s="43"/>
      <c r="H12" s="43" t="s">
        <v>13</v>
      </c>
      <c r="I12" s="43"/>
      <c r="J12" s="41" t="s">
        <v>14</v>
      </c>
      <c r="K12" s="42"/>
      <c r="L12" s="41" t="s">
        <v>15</v>
      </c>
      <c r="M12" s="42"/>
      <c r="U12" s="9" t="s">
        <v>16</v>
      </c>
      <c r="V12" s="9" t="s">
        <v>17</v>
      </c>
    </row>
    <row r="13" spans="4:26" x14ac:dyDescent="0.25">
      <c r="D13" t="s">
        <v>18</v>
      </c>
      <c r="E13" s="10" t="s">
        <v>19</v>
      </c>
      <c r="F13" s="10" t="s">
        <v>20</v>
      </c>
      <c r="G13" s="10" t="s">
        <v>95</v>
      </c>
      <c r="H13" s="10" t="s">
        <v>20</v>
      </c>
      <c r="I13" s="10" t="s">
        <v>95</v>
      </c>
      <c r="J13" s="10" t="s">
        <v>21</v>
      </c>
      <c r="K13" s="10" t="s">
        <v>96</v>
      </c>
      <c r="L13" s="11" t="s">
        <v>16</v>
      </c>
      <c r="M13" s="10" t="s">
        <v>87</v>
      </c>
      <c r="R13" s="10" t="s">
        <v>22</v>
      </c>
      <c r="S13" s="10" t="s">
        <v>23</v>
      </c>
      <c r="U13" s="12">
        <f>IF($G$2="BXP",$G$3,350)</f>
        <v>350</v>
      </c>
      <c r="V13" s="12">
        <f>IF($G$2="BXP",430,$G$3)</f>
        <v>550</v>
      </c>
      <c r="X13" s="2" t="s">
        <v>24</v>
      </c>
      <c r="Y13" s="2" t="s">
        <v>94</v>
      </c>
    </row>
    <row r="14" spans="4:26" x14ac:dyDescent="0.25">
      <c r="D14" s="9">
        <v>50</v>
      </c>
      <c r="E14" t="s">
        <v>25</v>
      </c>
      <c r="F14" s="7">
        <f>IF($G$2="BXP",-SUMIF('Upgrade Costs'!$B$21:$B$70,$E14,'Upgrade Costs'!$G$21:$G$70)*(100%-$G$5),0)</f>
        <v>0</v>
      </c>
      <c r="G14" s="7">
        <f>IF($G$2="BXP",0,-SUMIF('Upgrade Costs'!$B$21:$B$70,$E14,'Upgrade Costs'!$P$21:$P$70)*(100%-$G$5))</f>
        <v>0</v>
      </c>
      <c r="H14" s="7">
        <f>IF($G$7="Yes",-'Upgrade Costs'!$W$41*2*(1-$G$5),0)</f>
        <v>0</v>
      </c>
      <c r="I14" s="7">
        <f>IF($G$7="Yes",-'Upgrade Costs'!$X$41*2*(1-$G$5),0)</f>
        <v>0</v>
      </c>
      <c r="J14" s="7">
        <f t="shared" ref="J14:J63" si="0">IF($G$2="BXP",IF(($G$4-$D14)&gt;0,($G$4-$D14)*$U$63+$R$62-SUMIF($Q$14:$Q$63,$D14,$R$14:$R$63)+IF($G$8="Yes",SUMIF($Q$14:$Q$63,$D14-$G$4,$U$14:$U$63),0),SUMIF($Q$14:$Q$63,$D14-$G$4+1,$R$14:$R$63)-SUMIF($Q$14:$Q$63,$D14,$R$14:$R$63))+IF($G$8="Yes",SUMIF($Q$14:$Q$63,MAX(0,$D14-$G$4),$U$14:$U$63),0),0)</f>
        <v>0</v>
      </c>
      <c r="K14" s="7">
        <f t="shared" ref="K14:K53" si="1">IF($G$2="BXP",0,IF(($G$4-$D14)&gt;0,($G$4-$D14)*$V$63+$S$62-SUMIF($Q$14:$Q$63,$D14,$S$14:$S$63)+IF($G$8="Yes",SUMIF($Q$14:$Q$63,$D14-$G$4,$V$14:$V$63),0),SUMIF($Q$14:$Q$63,$D14-$G$4+1,$S$14:$S$63)-SUMIF($Q$14:$Q$63,$D14,$S$14:$S$63))+IF($G$8="Yes",SUMIF($Q$14:$Q$63,MAX(0,$D14-$G$4),$V$14:$V$63),0))</f>
        <v>22575</v>
      </c>
      <c r="L14" s="13">
        <f>IF($G$6="Yes",IF(($D14-$G$4)&gt;0,"",F14+H14+J14),F14+H14+J14)</f>
        <v>0</v>
      </c>
      <c r="M14" s="13">
        <f>IF($G$6="Yes",IF(($D14-$G$4)&gt;0,"",G14+I14+K14),G14+I14+K14)</f>
        <v>22575</v>
      </c>
      <c r="Q14">
        <v>49</v>
      </c>
      <c r="R14" s="14">
        <f>U14</f>
        <v>1764</v>
      </c>
      <c r="S14" s="14">
        <f>V14</f>
        <v>3000</v>
      </c>
      <c r="T14" s="15" t="s">
        <v>25</v>
      </c>
      <c r="U14" s="14">
        <f>X14*$U$13</f>
        <v>1764</v>
      </c>
      <c r="V14" s="14">
        <f>Y14*$V$13</f>
        <v>3000</v>
      </c>
      <c r="X14" s="16">
        <v>5.04</v>
      </c>
      <c r="Y14" s="16">
        <f>2400/440</f>
        <v>5.4545454545454541</v>
      </c>
      <c r="Z14" s="2"/>
    </row>
    <row r="15" spans="4:26" x14ac:dyDescent="0.25">
      <c r="D15" s="9">
        <v>49</v>
      </c>
      <c r="E15" t="s">
        <v>26</v>
      </c>
      <c r="F15" s="7">
        <f>IF($G$2="BXP",-SUMIF('Upgrade Costs'!$B$21:$B$70,$E15,'Upgrade Costs'!$G$21:$G$70)*(100%-$G$5),0)</f>
        <v>0</v>
      </c>
      <c r="G15" s="7">
        <f>IF($G$2="BXP",0,-SUMIF('Upgrade Costs'!$B$21:$B$70,$E15,'Upgrade Costs'!$P$21:$P$70)*(100%-$G$5))</f>
        <v>-40</v>
      </c>
      <c r="H15" s="7">
        <f>IF($G$7="Yes",-'Upgrade Costs'!$W$41*2*(1-$G$5),0)</f>
        <v>0</v>
      </c>
      <c r="I15" s="7">
        <f>IF($G$7="Yes",-'Upgrade Costs'!$X$41*2*(1-$G$5),0)</f>
        <v>0</v>
      </c>
      <c r="J15" s="7">
        <f t="shared" si="0"/>
        <v>0</v>
      </c>
      <c r="K15" s="7">
        <f t="shared" si="1"/>
        <v>23100</v>
      </c>
      <c r="L15" s="13">
        <f t="shared" ref="L15:M63" si="2">IF($G$6="Yes",IF(($D15-$G$4)&gt;0,"",F15+H15+J15),F15+H15+J15)</f>
        <v>0</v>
      </c>
      <c r="M15" s="13">
        <f t="shared" si="2"/>
        <v>23060</v>
      </c>
      <c r="Q15">
        <v>48</v>
      </c>
      <c r="R15" s="14">
        <f>R14+U15</f>
        <v>3622.9772727272725</v>
      </c>
      <c r="S15" s="14">
        <f>S14+V15</f>
        <v>6075</v>
      </c>
      <c r="T15" s="15" t="s">
        <v>26</v>
      </c>
      <c r="U15" s="14">
        <f>X15*$U$13</f>
        <v>1858.9772727272725</v>
      </c>
      <c r="V15" s="14">
        <f t="shared" ref="V15:V63" si="3">Y15*$V$13</f>
        <v>3075</v>
      </c>
      <c r="X15" s="16">
        <f t="shared" ref="X15:X53" si="4">Y15*0.95</f>
        <v>5.3113636363636356</v>
      </c>
      <c r="Y15" s="16">
        <f>2460/440</f>
        <v>5.5909090909090908</v>
      </c>
    </row>
    <row r="16" spans="4:26" x14ac:dyDescent="0.25">
      <c r="D16" s="9">
        <v>48</v>
      </c>
      <c r="E16" t="s">
        <v>27</v>
      </c>
      <c r="F16" s="7">
        <f>IF($G$2="BXP",-SUMIF('Upgrade Costs'!$B$21:$B$70,$E16,'Upgrade Costs'!$G$21:$G$70)*(100%-$G$5),0)</f>
        <v>0</v>
      </c>
      <c r="G16" s="7">
        <f>IF($G$2="BXP",0,-SUMIF('Upgrade Costs'!$B$21:$B$70,$E16,'Upgrade Costs'!$P$21:$P$70)*(100%-$G$5))</f>
        <v>-120</v>
      </c>
      <c r="H16" s="7">
        <f>IF($G$7="Yes",-'Upgrade Costs'!$W$41*2*(1-$G$5),0)</f>
        <v>0</v>
      </c>
      <c r="I16" s="7">
        <f>IF($G$7="Yes",-'Upgrade Costs'!$X$41*2*(1-$G$5),0)</f>
        <v>0</v>
      </c>
      <c r="J16" s="7">
        <f t="shared" si="0"/>
        <v>0</v>
      </c>
      <c r="K16" s="7">
        <f t="shared" si="1"/>
        <v>23625</v>
      </c>
      <c r="L16" s="13">
        <f t="shared" si="2"/>
        <v>0</v>
      </c>
      <c r="M16" s="13">
        <f t="shared" si="2"/>
        <v>23505</v>
      </c>
      <c r="Q16">
        <v>47</v>
      </c>
      <c r="R16" s="14">
        <f t="shared" ref="R16:S21" si="5">R15+U16</f>
        <v>5527.295454545454</v>
      </c>
      <c r="S16" s="14">
        <f t="shared" si="5"/>
        <v>9225</v>
      </c>
      <c r="T16" s="15" t="s">
        <v>27</v>
      </c>
      <c r="U16" s="14">
        <f t="shared" ref="U16:U63" si="6">X16*$U$13</f>
        <v>1904.3181818181818</v>
      </c>
      <c r="V16" s="14">
        <f t="shared" si="3"/>
        <v>3150</v>
      </c>
      <c r="X16" s="16">
        <f t="shared" si="4"/>
        <v>5.4409090909090905</v>
      </c>
      <c r="Y16" s="16">
        <f>2520/440</f>
        <v>5.7272727272727275</v>
      </c>
    </row>
    <row r="17" spans="4:26" x14ac:dyDescent="0.25">
      <c r="D17" s="9">
        <v>47</v>
      </c>
      <c r="E17" t="s">
        <v>28</v>
      </c>
      <c r="F17" s="7">
        <f>IF($G$2="BXP",-SUMIF('Upgrade Costs'!$B$21:$B$70,$E17,'Upgrade Costs'!$G$21:$G$70)*(100%-$G$5),0)</f>
        <v>0</v>
      </c>
      <c r="G17" s="7">
        <f>IF($G$2="BXP",0,-SUMIF('Upgrade Costs'!$B$21:$B$70,$E17,'Upgrade Costs'!$P$21:$P$70)*(100%-$G$5))</f>
        <v>-240</v>
      </c>
      <c r="H17" s="7">
        <f>IF($G$7="Yes",-'Upgrade Costs'!$W$41*2*(1-$G$5),0)</f>
        <v>0</v>
      </c>
      <c r="I17" s="7">
        <f>IF($G$7="Yes",-'Upgrade Costs'!$X$41*2*(1-$G$5),0)</f>
        <v>0</v>
      </c>
      <c r="J17" s="7">
        <f t="shared" si="0"/>
        <v>0</v>
      </c>
      <c r="K17" s="7">
        <f t="shared" si="1"/>
        <v>24150</v>
      </c>
      <c r="L17" s="13">
        <f t="shared" si="2"/>
        <v>0</v>
      </c>
      <c r="M17" s="13">
        <f t="shared" si="2"/>
        <v>23910</v>
      </c>
      <c r="Q17">
        <v>46</v>
      </c>
      <c r="R17" s="14">
        <f t="shared" si="5"/>
        <v>7476.954545454545</v>
      </c>
      <c r="S17" s="14">
        <f t="shared" si="5"/>
        <v>12450</v>
      </c>
      <c r="T17" s="15" t="s">
        <v>28</v>
      </c>
      <c r="U17" s="14">
        <f t="shared" si="6"/>
        <v>1949.6590909090908</v>
      </c>
      <c r="V17" s="14">
        <f t="shared" si="3"/>
        <v>3225</v>
      </c>
      <c r="X17" s="16">
        <f t="shared" si="4"/>
        <v>5.5704545454545453</v>
      </c>
      <c r="Y17" s="16">
        <f>2580/440</f>
        <v>5.8636363636363633</v>
      </c>
    </row>
    <row r="18" spans="4:26" x14ac:dyDescent="0.25">
      <c r="D18" s="9">
        <v>46</v>
      </c>
      <c r="E18" t="s">
        <v>29</v>
      </c>
      <c r="F18" s="7">
        <f>IF($G$2="BXP",-SUMIF('Upgrade Costs'!$B$21:$B$70,$E18,'Upgrade Costs'!$G$21:$G$70)*(100%-$G$5),0)</f>
        <v>0</v>
      </c>
      <c r="G18" s="7">
        <f>IF($G$2="BXP",0,-SUMIF('Upgrade Costs'!$B$21:$B$70,$E18,'Upgrade Costs'!$P$21:$P$70)*(100%-$G$5))</f>
        <v>-400</v>
      </c>
      <c r="H18" s="7">
        <f>IF($G$7="Yes",-'Upgrade Costs'!$W$41*2*(1-$G$5),0)</f>
        <v>0</v>
      </c>
      <c r="I18" s="7">
        <f>IF($G$7="Yes",-'Upgrade Costs'!$X$41*2*(1-$G$5),0)</f>
        <v>0</v>
      </c>
      <c r="J18" s="7">
        <f t="shared" si="0"/>
        <v>0</v>
      </c>
      <c r="K18" s="7">
        <f t="shared" si="1"/>
        <v>26212.5</v>
      </c>
      <c r="L18" s="13">
        <f t="shared" si="2"/>
        <v>0</v>
      </c>
      <c r="M18" s="13">
        <f t="shared" si="2"/>
        <v>25812.5</v>
      </c>
      <c r="P18" s="7"/>
      <c r="Q18">
        <v>45</v>
      </c>
      <c r="R18" s="14">
        <f t="shared" si="5"/>
        <v>9471.9545454545441</v>
      </c>
      <c r="S18" s="14">
        <f t="shared" si="5"/>
        <v>15750</v>
      </c>
      <c r="T18" s="15" t="s">
        <v>29</v>
      </c>
      <c r="U18" s="14">
        <f t="shared" si="6"/>
        <v>1994.9999999999998</v>
      </c>
      <c r="V18" s="14">
        <f t="shared" si="3"/>
        <v>3300</v>
      </c>
      <c r="X18" s="2">
        <f t="shared" si="4"/>
        <v>5.6999999999999993</v>
      </c>
      <c r="Y18" s="16">
        <f>2640/440</f>
        <v>6</v>
      </c>
    </row>
    <row r="19" spans="4:26" x14ac:dyDescent="0.25">
      <c r="D19" s="9">
        <v>45</v>
      </c>
      <c r="E19" t="s">
        <v>30</v>
      </c>
      <c r="F19" s="7">
        <f>IF($G$2="BXP",-SUMIF('Upgrade Costs'!$B$21:$B$70,$E19,'Upgrade Costs'!$G$21:$G$70)*(100%-$G$5),0)</f>
        <v>0</v>
      </c>
      <c r="G19" s="7">
        <f>IF($G$2="BXP",0,-SUMIF('Upgrade Costs'!$B$21:$B$70,$E19,'Upgrade Costs'!$P$21:$P$70)*(100%-$G$5))</f>
        <v>-640</v>
      </c>
      <c r="H19" s="7">
        <f>IF($G$7="Yes",-'Upgrade Costs'!$W$41*2*(1-$G$5),0)</f>
        <v>0</v>
      </c>
      <c r="I19" s="7">
        <f>IF($G$7="Yes",-'Upgrade Costs'!$X$41*2*(1-$G$5),0)</f>
        <v>0</v>
      </c>
      <c r="J19" s="7">
        <f t="shared" si="0"/>
        <v>0</v>
      </c>
      <c r="K19" s="7">
        <f t="shared" si="1"/>
        <v>28725</v>
      </c>
      <c r="L19" s="13">
        <f t="shared" si="2"/>
        <v>0</v>
      </c>
      <c r="M19" s="13">
        <f t="shared" si="2"/>
        <v>28085</v>
      </c>
      <c r="Q19">
        <v>44</v>
      </c>
      <c r="R19" s="14">
        <f t="shared" si="5"/>
        <v>11512.295454545452</v>
      </c>
      <c r="S19" s="14">
        <f t="shared" si="5"/>
        <v>19125</v>
      </c>
      <c r="T19" s="15" t="s">
        <v>30</v>
      </c>
      <c r="U19" s="14">
        <f t="shared" si="6"/>
        <v>2040.340909090909</v>
      </c>
      <c r="V19" s="14">
        <f t="shared" si="3"/>
        <v>3375</v>
      </c>
      <c r="X19" s="2">
        <f t="shared" si="4"/>
        <v>5.8295454545454541</v>
      </c>
      <c r="Y19" s="16">
        <f>2700/440</f>
        <v>6.1363636363636367</v>
      </c>
    </row>
    <row r="20" spans="4:26" x14ac:dyDescent="0.25">
      <c r="D20" s="9">
        <v>44</v>
      </c>
      <c r="E20" t="s">
        <v>31</v>
      </c>
      <c r="F20" s="7">
        <f>IF($G$2="BXP",-SUMIF('Upgrade Costs'!$B$21:$B$70,$E20,'Upgrade Costs'!$G$21:$G$70)*(100%-$G$5),0)</f>
        <v>0</v>
      </c>
      <c r="G20" s="7">
        <f>IF($G$2="BXP",0,-SUMIF('Upgrade Costs'!$B$21:$B$70,$E20,'Upgrade Costs'!$P$21:$P$70)*(100%-$G$5))</f>
        <v>-920</v>
      </c>
      <c r="H20" s="7">
        <f>IF($G$7="Yes",-'Upgrade Costs'!$W$41*2*(1-$G$5),0)</f>
        <v>0</v>
      </c>
      <c r="I20" s="7">
        <f>IF($G$7="Yes",-'Upgrade Costs'!$X$41*2*(1-$G$5),0)</f>
        <v>0</v>
      </c>
      <c r="J20" s="7">
        <f t="shared" si="0"/>
        <v>0</v>
      </c>
      <c r="K20" s="7">
        <f t="shared" si="1"/>
        <v>31350</v>
      </c>
      <c r="L20" s="13">
        <f t="shared" si="2"/>
        <v>0</v>
      </c>
      <c r="M20" s="13">
        <f t="shared" si="2"/>
        <v>30430</v>
      </c>
      <c r="Q20">
        <v>43</v>
      </c>
      <c r="R20" s="14">
        <f t="shared" si="5"/>
        <v>13597.97727272727</v>
      </c>
      <c r="S20" s="14">
        <f t="shared" si="5"/>
        <v>22575</v>
      </c>
      <c r="T20" s="15" t="s">
        <v>31</v>
      </c>
      <c r="U20" s="14">
        <f t="shared" si="6"/>
        <v>2085.681818181818</v>
      </c>
      <c r="V20" s="14">
        <f t="shared" si="3"/>
        <v>3450</v>
      </c>
      <c r="X20" s="2">
        <f t="shared" si="4"/>
        <v>5.959090909090909</v>
      </c>
      <c r="Y20" s="16">
        <f>2760/440</f>
        <v>6.2727272727272725</v>
      </c>
    </row>
    <row r="21" spans="4:26" x14ac:dyDescent="0.25">
      <c r="D21" s="9">
        <v>43</v>
      </c>
      <c r="E21" t="s">
        <v>32</v>
      </c>
      <c r="F21" s="7">
        <f>IF($G$2="BXP",-SUMIF('Upgrade Costs'!$B$21:$B$70,$E21,'Upgrade Costs'!$G$21:$G$70)*(100%-$G$5),0)</f>
        <v>0</v>
      </c>
      <c r="G21" s="7">
        <f>IF($G$2="BXP",0,-SUMIF('Upgrade Costs'!$B$21:$B$70,$E21,'Upgrade Costs'!$P$21:$P$70)*(100%-$G$5))</f>
        <v>-1320</v>
      </c>
      <c r="H21" s="7">
        <f>IF($G$7="Yes",-'Upgrade Costs'!$W$41*2*(1-$G$5),0)</f>
        <v>0</v>
      </c>
      <c r="I21" s="7">
        <f>IF($G$7="Yes",-'Upgrade Costs'!$X$41*2*(1-$G$5),0)</f>
        <v>0</v>
      </c>
      <c r="J21" s="7">
        <f t="shared" si="0"/>
        <v>0</v>
      </c>
      <c r="K21" s="7">
        <f t="shared" si="1"/>
        <v>34050</v>
      </c>
      <c r="L21" s="13">
        <f t="shared" si="2"/>
        <v>0</v>
      </c>
      <c r="M21" s="13">
        <f t="shared" si="2"/>
        <v>32730</v>
      </c>
      <c r="Q21">
        <v>42</v>
      </c>
      <c r="R21" s="14">
        <f t="shared" si="5"/>
        <v>15728.999999999998</v>
      </c>
      <c r="S21" s="14">
        <f t="shared" si="5"/>
        <v>26100</v>
      </c>
      <c r="T21" s="15" t="s">
        <v>32</v>
      </c>
      <c r="U21" s="14">
        <f t="shared" si="6"/>
        <v>2131.0227272727275</v>
      </c>
      <c r="V21" s="14">
        <f t="shared" si="3"/>
        <v>3525</v>
      </c>
      <c r="X21" s="2">
        <f t="shared" si="4"/>
        <v>6.0886363636363638</v>
      </c>
      <c r="Y21" s="16">
        <f>2820/440</f>
        <v>6.4090909090909092</v>
      </c>
      <c r="Z21" s="2"/>
    </row>
    <row r="22" spans="4:26" x14ac:dyDescent="0.25">
      <c r="D22" s="9">
        <v>42</v>
      </c>
      <c r="E22" t="s">
        <v>33</v>
      </c>
      <c r="F22" s="7">
        <f>IF($G$2="BXP",-SUMIF('Upgrade Costs'!$B$21:$B$70,$E22,'Upgrade Costs'!$G$21:$G$70)*(100%-$G$5),0)</f>
        <v>0</v>
      </c>
      <c r="G22" s="7">
        <f>IF($G$2="BXP",0,-SUMIF('Upgrade Costs'!$B$21:$B$70,$E22,'Upgrade Costs'!$P$21:$P$70)*(100%-$G$5))</f>
        <v>-1880</v>
      </c>
      <c r="H22" s="7">
        <f>IF($G$7="Yes",-'Upgrade Costs'!$W$41*2*(1-$G$5),0)</f>
        <v>0</v>
      </c>
      <c r="I22" s="7">
        <f>IF($G$7="Yes",-'Upgrade Costs'!$X$41*2*(1-$G$5),0)</f>
        <v>0</v>
      </c>
      <c r="J22" s="7">
        <f t="shared" si="0"/>
        <v>0</v>
      </c>
      <c r="K22" s="7">
        <f t="shared" si="1"/>
        <v>36862.5</v>
      </c>
      <c r="L22" s="13">
        <f t="shared" si="2"/>
        <v>0</v>
      </c>
      <c r="M22" s="13">
        <f t="shared" si="2"/>
        <v>34982.5</v>
      </c>
      <c r="O22" s="17"/>
      <c r="P22" s="17"/>
      <c r="Q22">
        <v>41</v>
      </c>
      <c r="R22" s="14">
        <f>R14+8*AVERAGE(U14:U23)</f>
        <v>17865.654545454545</v>
      </c>
      <c r="S22" s="14">
        <f>S14+8*AVERAGE(V14:V23)</f>
        <v>29700</v>
      </c>
      <c r="T22" s="15" t="s">
        <v>33</v>
      </c>
      <c r="U22" s="14">
        <f t="shared" si="6"/>
        <v>2176.3636363636365</v>
      </c>
      <c r="V22" s="14">
        <f t="shared" si="3"/>
        <v>3600</v>
      </c>
      <c r="X22" s="2">
        <f t="shared" si="4"/>
        <v>6.2181818181818187</v>
      </c>
      <c r="Y22" s="16">
        <v>6.5454545454545459</v>
      </c>
    </row>
    <row r="23" spans="4:26" x14ac:dyDescent="0.25">
      <c r="D23" s="9">
        <v>41</v>
      </c>
      <c r="E23" t="s">
        <v>34</v>
      </c>
      <c r="F23" s="7">
        <f>IF($G$2="BXP",-SUMIF('Upgrade Costs'!$B$21:$B$70,$E23,'Upgrade Costs'!$G$21:$G$70)*(100%-$G$5),0)</f>
        <v>0</v>
      </c>
      <c r="G23" s="7">
        <f>IF($G$2="BXP",0,-SUMIF('Upgrade Costs'!$B$21:$B$70,$E23,'Upgrade Costs'!$P$21:$P$70)*(100%-$G$5))</f>
        <v>-2640</v>
      </c>
      <c r="H23" s="7">
        <f>IF($G$7="Yes",-'Upgrade Costs'!$W$41*2*(1-$G$5),0)</f>
        <v>0</v>
      </c>
      <c r="I23" s="7">
        <f>IF($G$7="Yes",-'Upgrade Costs'!$X$41*2*(1-$G$5),0)</f>
        <v>0</v>
      </c>
      <c r="J23" s="7">
        <f t="shared" si="0"/>
        <v>0</v>
      </c>
      <c r="K23" s="7">
        <f t="shared" si="1"/>
        <v>39787.5</v>
      </c>
      <c r="L23" s="13">
        <f t="shared" si="2"/>
        <v>0</v>
      </c>
      <c r="M23" s="13">
        <f t="shared" si="2"/>
        <v>37147.5</v>
      </c>
      <c r="O23" s="17"/>
      <c r="P23" s="17"/>
      <c r="Q23">
        <f t="shared" ref="Q23:Q62" si="7">Q24+1</f>
        <v>40</v>
      </c>
      <c r="R23" s="14">
        <f>R22+U23</f>
        <v>20087.359090909089</v>
      </c>
      <c r="S23" s="14">
        <f>S14+9*AVERAGE(V14:V23)</f>
        <v>33037.5</v>
      </c>
      <c r="T23" s="15" t="s">
        <v>34</v>
      </c>
      <c r="U23" s="14">
        <f t="shared" si="6"/>
        <v>2221.7045454545455</v>
      </c>
      <c r="V23" s="14">
        <f t="shared" si="3"/>
        <v>3675</v>
      </c>
      <c r="X23" s="2">
        <f t="shared" si="4"/>
        <v>6.3477272727272727</v>
      </c>
      <c r="Y23" s="16">
        <f>2940/440</f>
        <v>6.6818181818181817</v>
      </c>
    </row>
    <row r="24" spans="4:26" x14ac:dyDescent="0.25">
      <c r="D24" s="9">
        <f>D23-1</f>
        <v>40</v>
      </c>
      <c r="E24" t="s">
        <v>35</v>
      </c>
      <c r="F24" s="7">
        <f>IF($G$2="BXP",-SUMIF('Upgrade Costs'!$B$21:$B$70,$E24,'Upgrade Costs'!$G$21:$G$70)*(100%-$G$5),0)</f>
        <v>0</v>
      </c>
      <c r="G24" s="7">
        <f>IF($G$2="BXP",0,-SUMIF('Upgrade Costs'!$B$21:$B$70,$E24,'Upgrade Costs'!$P$21:$P$70)*(100%-$G$5))</f>
        <v>-2640</v>
      </c>
      <c r="H24" s="7">
        <f>IF($G$7="Yes",-'Upgrade Costs'!$W$41*2*(1-$G$5),0)</f>
        <v>0</v>
      </c>
      <c r="I24" s="7">
        <f>IF($G$7="Yes",-'Upgrade Costs'!$X$41*2*(1-$G$5),0)</f>
        <v>0</v>
      </c>
      <c r="J24" s="7">
        <f t="shared" si="0"/>
        <v>0</v>
      </c>
      <c r="K24" s="7">
        <f t="shared" si="1"/>
        <v>43162.5</v>
      </c>
      <c r="L24" s="13">
        <f t="shared" si="2"/>
        <v>0</v>
      </c>
      <c r="M24" s="13">
        <f t="shared" si="2"/>
        <v>40522.5</v>
      </c>
      <c r="O24" s="17"/>
      <c r="P24" s="18"/>
      <c r="Q24">
        <f t="shared" si="7"/>
        <v>39</v>
      </c>
      <c r="R24" s="14">
        <f t="shared" ref="R24:S32" si="8">R23+U24</f>
        <v>23487.927272727269</v>
      </c>
      <c r="S24" s="14">
        <f t="shared" si="8"/>
        <v>38662.5</v>
      </c>
      <c r="T24" s="15" t="s">
        <v>35</v>
      </c>
      <c r="U24" s="14">
        <f t="shared" si="6"/>
        <v>3400.5681818181815</v>
      </c>
      <c r="V24" s="14">
        <f t="shared" si="3"/>
        <v>5625</v>
      </c>
      <c r="X24" s="2">
        <f t="shared" si="4"/>
        <v>9.7159090909090899</v>
      </c>
      <c r="Y24" s="16">
        <f>4500/440</f>
        <v>10.227272727272727</v>
      </c>
    </row>
    <row r="25" spans="4:26" x14ac:dyDescent="0.25">
      <c r="D25" s="9">
        <f t="shared" ref="D25:D32" si="9">D24-1</f>
        <v>39</v>
      </c>
      <c r="E25" t="s">
        <v>36</v>
      </c>
      <c r="F25" s="7">
        <f>IF($G$2="BXP",-SUMIF('Upgrade Costs'!$B$21:$B$70,$E25,'Upgrade Costs'!$G$21:$G$70)*(100%-$G$5),0)</f>
        <v>0</v>
      </c>
      <c r="G25" s="7">
        <f>IF($G$2="BXP",0,-SUMIF('Upgrade Costs'!$B$21:$B$70,$E25,'Upgrade Costs'!$P$21:$P$70)*(100%-$G$5))</f>
        <v>-3320</v>
      </c>
      <c r="H25" s="7">
        <f>IF($G$7="Yes",-'Upgrade Costs'!$W$41*2*(1-$G$5),0)</f>
        <v>0</v>
      </c>
      <c r="I25" s="7">
        <f>IF($G$7="Yes",-'Upgrade Costs'!$X$41*2*(1-$G$5),0)</f>
        <v>0</v>
      </c>
      <c r="J25" s="7">
        <f t="shared" si="0"/>
        <v>0</v>
      </c>
      <c r="K25" s="7">
        <f t="shared" si="1"/>
        <v>44437.5</v>
      </c>
      <c r="L25" s="13">
        <f t="shared" si="2"/>
        <v>0</v>
      </c>
      <c r="M25" s="13">
        <f t="shared" si="2"/>
        <v>41117.5</v>
      </c>
      <c r="O25" s="17"/>
      <c r="P25" s="17"/>
      <c r="Q25">
        <f t="shared" si="7"/>
        <v>38</v>
      </c>
      <c r="R25" s="14">
        <f t="shared" si="8"/>
        <v>27001.847727272725</v>
      </c>
      <c r="S25" s="14">
        <f t="shared" si="8"/>
        <v>44475</v>
      </c>
      <c r="T25" s="15" t="s">
        <v>36</v>
      </c>
      <c r="U25" s="19">
        <f t="shared" si="6"/>
        <v>3513.9204545454545</v>
      </c>
      <c r="V25" s="14">
        <f t="shared" si="3"/>
        <v>5812.5</v>
      </c>
      <c r="X25" s="2">
        <f t="shared" si="4"/>
        <v>10.039772727272727</v>
      </c>
      <c r="Y25" s="16">
        <f>4650/440</f>
        <v>10.568181818181818</v>
      </c>
    </row>
    <row r="26" spans="4:26" x14ac:dyDescent="0.25">
      <c r="D26" s="9">
        <f t="shared" si="9"/>
        <v>38</v>
      </c>
      <c r="E26" t="s">
        <v>37</v>
      </c>
      <c r="F26" s="7">
        <f>IF($G$2="BXP",-SUMIF('Upgrade Costs'!$B$21:$B$70,$E26,'Upgrade Costs'!$G$21:$G$70)*(100%-$G$5),0)</f>
        <v>0</v>
      </c>
      <c r="G26" s="7">
        <f>IF($G$2="BXP",0,-SUMIF('Upgrade Costs'!$B$21:$B$70,$E26,'Upgrade Costs'!$P$21:$P$70)*(100%-$G$5))</f>
        <v>-4120</v>
      </c>
      <c r="H26" s="7">
        <f>IF($G$7="Yes",-'Upgrade Costs'!$W$41*2*(1-$G$5),0)</f>
        <v>0</v>
      </c>
      <c r="I26" s="7">
        <f>IF($G$7="Yes",-'Upgrade Costs'!$X$41*2*(1-$G$5),0)</f>
        <v>0</v>
      </c>
      <c r="J26" s="7">
        <f t="shared" si="0"/>
        <v>0</v>
      </c>
      <c r="K26" s="7">
        <f t="shared" si="1"/>
        <v>45675</v>
      </c>
      <c r="L26" s="13">
        <f t="shared" si="2"/>
        <v>0</v>
      </c>
      <c r="M26" s="13">
        <f t="shared" si="2"/>
        <v>41555</v>
      </c>
      <c r="O26" s="17"/>
      <c r="P26" s="20"/>
      <c r="Q26">
        <f t="shared" si="7"/>
        <v>37</v>
      </c>
      <c r="R26" s="14">
        <f t="shared" si="8"/>
        <v>30629.120454545453</v>
      </c>
      <c r="S26" s="14">
        <f t="shared" si="8"/>
        <v>50475</v>
      </c>
      <c r="T26" s="15" t="s">
        <v>37</v>
      </c>
      <c r="U26" s="19">
        <f t="shared" si="6"/>
        <v>3627.2727272727266</v>
      </c>
      <c r="V26" s="14">
        <f t="shared" si="3"/>
        <v>6000</v>
      </c>
      <c r="X26" s="2">
        <f t="shared" si="4"/>
        <v>10.363636363636362</v>
      </c>
      <c r="Y26" s="16">
        <f>4800/440</f>
        <v>10.909090909090908</v>
      </c>
    </row>
    <row r="27" spans="4:26" x14ac:dyDescent="0.25">
      <c r="D27" s="9">
        <f t="shared" si="9"/>
        <v>37</v>
      </c>
      <c r="E27" t="s">
        <v>38</v>
      </c>
      <c r="F27" s="7">
        <f>IF($G$2="BXP",-SUMIF('Upgrade Costs'!$B$21:$B$70,$E27,'Upgrade Costs'!$G$21:$G$70)*(100%-$G$5),0)</f>
        <v>0</v>
      </c>
      <c r="G27" s="7">
        <f>IF($G$2="BXP",0,-SUMIF('Upgrade Costs'!$B$21:$B$70,$E27,'Upgrade Costs'!$P$21:$P$70)*(100%-$G$5))</f>
        <v>-5000</v>
      </c>
      <c r="H27" s="7">
        <f>IF($G$7="Yes",-'Upgrade Costs'!$W$41*2*(1-$G$5),0)</f>
        <v>0</v>
      </c>
      <c r="I27" s="7">
        <f>IF($G$7="Yes",-'Upgrade Costs'!$X$41*2*(1-$G$5),0)</f>
        <v>0</v>
      </c>
      <c r="J27" s="7">
        <f t="shared" si="0"/>
        <v>0</v>
      </c>
      <c r="K27" s="7">
        <f t="shared" si="1"/>
        <v>46912.5</v>
      </c>
      <c r="L27" s="13">
        <f t="shared" si="2"/>
        <v>0</v>
      </c>
      <c r="M27" s="13">
        <f t="shared" si="2"/>
        <v>41912.5</v>
      </c>
      <c r="O27" s="17"/>
      <c r="P27" s="17"/>
      <c r="Q27">
        <f t="shared" si="7"/>
        <v>36</v>
      </c>
      <c r="R27" s="14">
        <f t="shared" si="8"/>
        <v>34347.074999999997</v>
      </c>
      <c r="S27" s="14">
        <f t="shared" si="8"/>
        <v>56625</v>
      </c>
      <c r="T27" s="15" t="s">
        <v>38</v>
      </c>
      <c r="U27" s="19">
        <f t="shared" si="6"/>
        <v>3717.954545454545</v>
      </c>
      <c r="V27" s="14">
        <f t="shared" si="3"/>
        <v>6150</v>
      </c>
      <c r="X27" s="2">
        <f t="shared" si="4"/>
        <v>10.622727272727271</v>
      </c>
      <c r="Y27" s="16">
        <f>4920/440</f>
        <v>11.181818181818182</v>
      </c>
    </row>
    <row r="28" spans="4:26" x14ac:dyDescent="0.25">
      <c r="D28" s="9">
        <f t="shared" si="9"/>
        <v>36</v>
      </c>
      <c r="E28" t="s">
        <v>39</v>
      </c>
      <c r="F28" s="7">
        <f>IF($G$2="BXP",-SUMIF('Upgrade Costs'!$B$21:$B$70,$E28,'Upgrade Costs'!$G$21:$G$70)*(100%-$G$5),0)</f>
        <v>0</v>
      </c>
      <c r="G28" s="7">
        <f>IF($G$2="BXP",0,-SUMIF('Upgrade Costs'!$B$21:$B$70,$E28,'Upgrade Costs'!$P$21:$P$70)*(100%-$G$5))</f>
        <v>-6000</v>
      </c>
      <c r="H28" s="7">
        <f>IF($G$7="Yes",-'Upgrade Costs'!$W$41*2*(1-$G$5),0)</f>
        <v>0</v>
      </c>
      <c r="I28" s="7">
        <f>IF($G$7="Yes",-'Upgrade Costs'!$X$41*2*(1-$G$5),0)</f>
        <v>0</v>
      </c>
      <c r="J28" s="7">
        <f t="shared" si="0"/>
        <v>0</v>
      </c>
      <c r="K28" s="7">
        <f t="shared" si="1"/>
        <v>50206.25</v>
      </c>
      <c r="L28" s="13">
        <f t="shared" si="2"/>
        <v>0</v>
      </c>
      <c r="M28" s="13">
        <f t="shared" si="2"/>
        <v>44206.25</v>
      </c>
      <c r="O28" s="17"/>
      <c r="P28" s="17"/>
      <c r="Q28">
        <f t="shared" si="7"/>
        <v>35</v>
      </c>
      <c r="R28" s="14">
        <f t="shared" si="8"/>
        <v>38178.381818181813</v>
      </c>
      <c r="S28" s="14">
        <f t="shared" si="8"/>
        <v>62962.5</v>
      </c>
      <c r="T28" s="15" t="s">
        <v>39</v>
      </c>
      <c r="U28" s="14">
        <f t="shared" si="6"/>
        <v>3831.3068181818185</v>
      </c>
      <c r="V28" s="14">
        <f t="shared" si="3"/>
        <v>6337.5</v>
      </c>
      <c r="X28" s="2">
        <f t="shared" si="4"/>
        <v>10.94659090909091</v>
      </c>
      <c r="Y28" s="16">
        <f>5070/440</f>
        <v>11.522727272727273</v>
      </c>
    </row>
    <row r="29" spans="4:26" x14ac:dyDescent="0.25">
      <c r="D29" s="9">
        <f t="shared" si="9"/>
        <v>35</v>
      </c>
      <c r="E29" t="s">
        <v>40</v>
      </c>
      <c r="F29" s="7">
        <f>IF($G$2="BXP",-SUMIF('Upgrade Costs'!$B$21:$B$70,$E29,'Upgrade Costs'!$G$21:$G$70)*(100%-$G$5),0)</f>
        <v>0</v>
      </c>
      <c r="G29" s="7">
        <f>IF($G$2="BXP",0,-SUMIF('Upgrade Costs'!$B$21:$B$70,$E29,'Upgrade Costs'!$P$21:$P$70)*(100%-$G$5))</f>
        <v>-7160</v>
      </c>
      <c r="H29" s="7">
        <f>IF($G$7="Yes",-'Upgrade Costs'!$W$41*2*(1-$G$5),0)</f>
        <v>0</v>
      </c>
      <c r="I29" s="7">
        <f>IF($G$7="Yes",-'Upgrade Costs'!$X$41*2*(1-$G$5),0)</f>
        <v>0</v>
      </c>
      <c r="J29" s="7">
        <f t="shared" si="0"/>
        <v>0</v>
      </c>
      <c r="K29" s="7">
        <f t="shared" si="1"/>
        <v>54118.75</v>
      </c>
      <c r="L29" s="13">
        <f t="shared" si="2"/>
        <v>0</v>
      </c>
      <c r="M29" s="13">
        <f t="shared" si="2"/>
        <v>46958.75</v>
      </c>
      <c r="Q29">
        <f t="shared" si="7"/>
        <v>34</v>
      </c>
      <c r="R29" s="14">
        <f t="shared" si="8"/>
        <v>42123.040909090902</v>
      </c>
      <c r="S29" s="14">
        <f t="shared" si="8"/>
        <v>69487.5</v>
      </c>
      <c r="T29" s="15" t="s">
        <v>40</v>
      </c>
      <c r="U29" s="19">
        <f t="shared" si="6"/>
        <v>3944.6590909090905</v>
      </c>
      <c r="V29" s="14">
        <f t="shared" si="3"/>
        <v>6525</v>
      </c>
      <c r="X29" s="2">
        <f>Y29*0.95</f>
        <v>11.270454545454545</v>
      </c>
      <c r="Y29" s="16">
        <f>5220/440</f>
        <v>11.863636363636363</v>
      </c>
    </row>
    <row r="30" spans="4:26" x14ac:dyDescent="0.25">
      <c r="D30" s="9">
        <f t="shared" si="9"/>
        <v>34</v>
      </c>
      <c r="E30" t="s">
        <v>41</v>
      </c>
      <c r="F30" s="7">
        <f>IF($G$2="BXP",-SUMIF('Upgrade Costs'!$B$21:$B$70,$E30,'Upgrade Costs'!$G$21:$G$70)*(100%-$G$5),0)</f>
        <v>0</v>
      </c>
      <c r="G30" s="7">
        <f>IF($G$2="BXP",0,-SUMIF('Upgrade Costs'!$B$21:$B$70,$E30,'Upgrade Costs'!$P$21:$P$70)*(100%-$G$5))</f>
        <v>-8520</v>
      </c>
      <c r="H30" s="7">
        <f>IF($G$7="Yes",-'Upgrade Costs'!$W$41*2*(1-$G$5),0)</f>
        <v>0</v>
      </c>
      <c r="I30" s="7">
        <f>IF($G$7="Yes",-'Upgrade Costs'!$X$41*2*(1-$G$5),0)</f>
        <v>0</v>
      </c>
      <c r="J30" s="7">
        <f t="shared" si="0"/>
        <v>0</v>
      </c>
      <c r="K30" s="7">
        <f t="shared" si="1"/>
        <v>58143.75</v>
      </c>
      <c r="L30" s="13">
        <f t="shared" si="2"/>
        <v>0</v>
      </c>
      <c r="M30" s="13">
        <f t="shared" si="2"/>
        <v>49623.75</v>
      </c>
      <c r="Q30">
        <f t="shared" si="7"/>
        <v>33</v>
      </c>
      <c r="R30" s="14">
        <f t="shared" si="8"/>
        <v>46181.052272727262</v>
      </c>
      <c r="S30" s="14">
        <f t="shared" si="8"/>
        <v>76200</v>
      </c>
      <c r="T30" s="15" t="s">
        <v>41</v>
      </c>
      <c r="U30" s="19">
        <f t="shared" si="6"/>
        <v>4058.0113636363635</v>
      </c>
      <c r="V30" s="14">
        <f t="shared" si="3"/>
        <v>6712.5</v>
      </c>
      <c r="X30" s="2">
        <f t="shared" si="4"/>
        <v>11.594318181818181</v>
      </c>
      <c r="Y30" s="16">
        <f>5370/440</f>
        <v>12.204545454545455</v>
      </c>
    </row>
    <row r="31" spans="4:26" x14ac:dyDescent="0.25">
      <c r="D31" s="9">
        <f t="shared" si="9"/>
        <v>33</v>
      </c>
      <c r="E31" t="s">
        <v>42</v>
      </c>
      <c r="F31" s="7">
        <f>IF($G$2="BXP",-SUMIF('Upgrade Costs'!$B$21:$B$70,$E31,'Upgrade Costs'!$G$21:$G$70)*(100%-$G$5),0)</f>
        <v>0</v>
      </c>
      <c r="G31" s="7">
        <f>IF($G$2="BXP",0,-SUMIF('Upgrade Costs'!$B$21:$B$70,$E31,'Upgrade Costs'!$P$21:$P$70)*(100%-$G$5))</f>
        <v>-10080</v>
      </c>
      <c r="H31" s="7">
        <f>IF($G$7="Yes",-'Upgrade Costs'!$W$41*2*(1-$G$5),0)</f>
        <v>0</v>
      </c>
      <c r="I31" s="7">
        <f>IF($G$7="Yes",-'Upgrade Costs'!$X$41*2*(1-$G$5),0)</f>
        <v>0</v>
      </c>
      <c r="J31" s="7">
        <f t="shared" si="0"/>
        <v>0</v>
      </c>
      <c r="K31" s="7">
        <f t="shared" si="1"/>
        <v>62331.25</v>
      </c>
      <c r="L31" s="13">
        <f t="shared" si="2"/>
        <v>0</v>
      </c>
      <c r="M31" s="13">
        <f t="shared" si="2"/>
        <v>52251.25</v>
      </c>
      <c r="Q31">
        <f t="shared" si="7"/>
        <v>32</v>
      </c>
      <c r="R31" s="14">
        <f t="shared" si="8"/>
        <v>50352.415909090894</v>
      </c>
      <c r="S31" s="14">
        <f t="shared" si="8"/>
        <v>83100</v>
      </c>
      <c r="T31" s="15" t="s">
        <v>42</v>
      </c>
      <c r="U31" s="19">
        <f t="shared" si="6"/>
        <v>4171.363636363636</v>
      </c>
      <c r="V31" s="14">
        <f t="shared" si="3"/>
        <v>6900</v>
      </c>
      <c r="X31" s="2">
        <f t="shared" si="4"/>
        <v>11.918181818181818</v>
      </c>
      <c r="Y31" s="16">
        <f>5520/440</f>
        <v>12.545454545454545</v>
      </c>
    </row>
    <row r="32" spans="4:26" x14ac:dyDescent="0.25">
      <c r="D32" s="9">
        <f t="shared" si="9"/>
        <v>32</v>
      </c>
      <c r="E32" t="s">
        <v>43</v>
      </c>
      <c r="F32" s="7">
        <f>IF($G$2="BXP",-SUMIF('Upgrade Costs'!$B$21:$B$70,$E32,'Upgrade Costs'!$G$21:$G$70)*(100%-$G$5),0)</f>
        <v>0</v>
      </c>
      <c r="G32" s="7">
        <f>IF($G$2="BXP",0,-SUMIF('Upgrade Costs'!$B$21:$B$70,$E32,'Upgrade Costs'!$P$21:$P$70)*(100%-$G$5))</f>
        <v>-11880</v>
      </c>
      <c r="H32" s="7">
        <f>IF($G$7="Yes",-'Upgrade Costs'!$W$41*2*(1-$G$5),0)</f>
        <v>0</v>
      </c>
      <c r="I32" s="7">
        <f>IF($G$7="Yes",-'Upgrade Costs'!$X$41*2*(1-$G$5),0)</f>
        <v>0</v>
      </c>
      <c r="J32" s="7">
        <f t="shared" si="0"/>
        <v>0</v>
      </c>
      <c r="K32" s="7">
        <f t="shared" si="1"/>
        <v>66631.25</v>
      </c>
      <c r="L32" s="13">
        <f t="shared" si="2"/>
        <v>0</v>
      </c>
      <c r="M32" s="13">
        <f t="shared" si="2"/>
        <v>54751.25</v>
      </c>
      <c r="Q32">
        <f t="shared" si="7"/>
        <v>31</v>
      </c>
      <c r="R32" s="14">
        <f t="shared" si="8"/>
        <v>54614.46136363635</v>
      </c>
      <c r="S32" s="14">
        <f t="shared" si="8"/>
        <v>90150</v>
      </c>
      <c r="T32" s="15" t="s">
        <v>43</v>
      </c>
      <c r="U32" s="19">
        <f t="shared" si="6"/>
        <v>4262.045454545455</v>
      </c>
      <c r="V32" s="14">
        <f t="shared" si="3"/>
        <v>7050</v>
      </c>
      <c r="X32" s="2">
        <f t="shared" si="4"/>
        <v>12.177272727272728</v>
      </c>
      <c r="Y32" s="16">
        <f>5640/440</f>
        <v>12.818181818181818</v>
      </c>
    </row>
    <row r="33" spans="3:25" x14ac:dyDescent="0.25">
      <c r="D33" s="9">
        <v>31</v>
      </c>
      <c r="E33" t="s">
        <v>44</v>
      </c>
      <c r="F33" s="7">
        <f>IF($G$2="BXP",-SUMIF('Upgrade Costs'!$B$21:$B$70,$E33,'Upgrade Costs'!$G$21:$G$70)*(100%-$G$5),0)</f>
        <v>0</v>
      </c>
      <c r="G33" s="7">
        <f>IF($G$2="BXP",0,-SUMIF('Upgrade Costs'!$B$21:$B$70,$E33,'Upgrade Costs'!$P$21:$P$70)*(100%-$G$5))</f>
        <v>-13960</v>
      </c>
      <c r="H33" s="7">
        <f>IF($G$7="Yes",-'Upgrade Costs'!$W$41*2*(1-$G$5),0)</f>
        <v>0</v>
      </c>
      <c r="I33" s="7">
        <f>IF($G$7="Yes",-'Upgrade Costs'!$X$41*2*(1-$G$5),0)</f>
        <v>0</v>
      </c>
      <c r="J33" s="7">
        <f t="shared" si="0"/>
        <v>0</v>
      </c>
      <c r="K33" s="7">
        <f t="shared" si="1"/>
        <v>71131.25</v>
      </c>
      <c r="L33" s="13">
        <f t="shared" si="2"/>
        <v>0</v>
      </c>
      <c r="M33" s="13">
        <f t="shared" si="2"/>
        <v>57171.25</v>
      </c>
      <c r="Q33">
        <f t="shared" si="7"/>
        <v>30</v>
      </c>
      <c r="R33" s="14">
        <f>R28+5*AVERAGE(U28:U33)</f>
        <v>58714.035227272725</v>
      </c>
      <c r="S33" s="14">
        <f>S28+5*AVERAGE(V28:V33)</f>
        <v>96931.25</v>
      </c>
      <c r="T33" s="15" t="s">
        <v>44</v>
      </c>
      <c r="U33" s="14">
        <f t="shared" si="6"/>
        <v>4375.397727272727</v>
      </c>
      <c r="V33" s="14">
        <f t="shared" si="3"/>
        <v>7237.5</v>
      </c>
      <c r="W33" s="21"/>
      <c r="X33" s="16">
        <f t="shared" si="4"/>
        <v>12.501136363636363</v>
      </c>
      <c r="Y33" s="16">
        <f>5790/440</f>
        <v>13.159090909090908</v>
      </c>
    </row>
    <row r="34" spans="3:25" x14ac:dyDescent="0.25">
      <c r="D34" s="9">
        <v>30</v>
      </c>
      <c r="E34" t="s">
        <v>45</v>
      </c>
      <c r="F34" s="7">
        <f>IF($G$2="BXP",-SUMIF('Upgrade Costs'!$B$21:$B$70,$E34,'Upgrade Costs'!$G$21:$G$70)*(100%-$G$5),0)</f>
        <v>0</v>
      </c>
      <c r="G34" s="7">
        <f>IF($G$2="BXP",0,-SUMIF('Upgrade Costs'!$B$21:$B$70,$E34,'Upgrade Costs'!$P$21:$P$70)*(100%-$G$5))</f>
        <v>-13960</v>
      </c>
      <c r="H34" s="7">
        <f>IF($G$7="Yes",-'Upgrade Costs'!$W$41*2*(1-$G$5),0)</f>
        <v>0</v>
      </c>
      <c r="I34" s="7">
        <f>IF($G$7="Yes",-'Upgrade Costs'!$X$41*2*(1-$G$5),0)</f>
        <v>0</v>
      </c>
      <c r="J34" s="7">
        <f t="shared" si="0"/>
        <v>0</v>
      </c>
      <c r="K34" s="7">
        <f t="shared" si="1"/>
        <v>76250</v>
      </c>
      <c r="L34" s="13">
        <f t="shared" si="2"/>
        <v>0</v>
      </c>
      <c r="M34" s="13">
        <f t="shared" si="2"/>
        <v>62290</v>
      </c>
      <c r="Q34">
        <f t="shared" si="7"/>
        <v>29</v>
      </c>
      <c r="R34" s="14">
        <f t="shared" ref="R34:S40" si="10">R33+U34</f>
        <v>64699.035227272725</v>
      </c>
      <c r="S34" s="14">
        <f t="shared" si="10"/>
        <v>106831.25</v>
      </c>
      <c r="T34" s="15" t="s">
        <v>45</v>
      </c>
      <c r="U34" s="14">
        <f t="shared" si="6"/>
        <v>5984.9999999999991</v>
      </c>
      <c r="V34" s="14">
        <f t="shared" si="3"/>
        <v>9900</v>
      </c>
      <c r="W34" s="16"/>
      <c r="X34" s="16">
        <f t="shared" si="4"/>
        <v>17.099999999999998</v>
      </c>
      <c r="Y34" s="16">
        <f>7920/440</f>
        <v>18</v>
      </c>
    </row>
    <row r="35" spans="3:25" x14ac:dyDescent="0.25">
      <c r="C35" s="7"/>
      <c r="D35" s="9">
        <f t="shared" ref="D35:D63" si="11">D34-1</f>
        <v>29</v>
      </c>
      <c r="E35" t="s">
        <v>46</v>
      </c>
      <c r="F35" s="7">
        <f>IF($G$2="BXP",-SUMIF('Upgrade Costs'!$B$21:$B$70,$E35,'Upgrade Costs'!$G$21:$G$70)*(100%-$G$5),0)</f>
        <v>0</v>
      </c>
      <c r="G35" s="7">
        <f>IF($G$2="BXP",0,-SUMIF('Upgrade Costs'!$B$21:$B$70,$E35,'Upgrade Costs'!$P$21:$P$70)*(100%-$G$5))</f>
        <v>-15880</v>
      </c>
      <c r="H35" s="7">
        <f>IF($G$7="Yes",-'Upgrade Costs'!$W$41*2*(1-$G$5),0)</f>
        <v>0</v>
      </c>
      <c r="I35" s="7">
        <f>IF($G$7="Yes",-'Upgrade Costs'!$X$41*2*(1-$G$5),0)</f>
        <v>0</v>
      </c>
      <c r="J35" s="7">
        <f t="shared" si="0"/>
        <v>0</v>
      </c>
      <c r="K35" s="7">
        <f t="shared" si="1"/>
        <v>78550</v>
      </c>
      <c r="L35" s="13">
        <f t="shared" si="2"/>
        <v>0</v>
      </c>
      <c r="M35" s="13">
        <f t="shared" si="2"/>
        <v>62670</v>
      </c>
      <c r="Q35">
        <f t="shared" si="7"/>
        <v>28</v>
      </c>
      <c r="R35" s="14">
        <f t="shared" si="10"/>
        <v>70895.626136363629</v>
      </c>
      <c r="S35" s="14">
        <f t="shared" si="10"/>
        <v>117081.25</v>
      </c>
      <c r="T35" s="15" t="s">
        <v>46</v>
      </c>
      <c r="U35" s="19">
        <f t="shared" si="6"/>
        <v>6196.590909090909</v>
      </c>
      <c r="V35" s="14">
        <f t="shared" si="3"/>
        <v>10250</v>
      </c>
      <c r="W35" s="21"/>
      <c r="X35" s="16">
        <f t="shared" si="4"/>
        <v>17.704545454545453</v>
      </c>
      <c r="Y35" s="16">
        <f>8200/440</f>
        <v>18.636363636363637</v>
      </c>
    </row>
    <row r="36" spans="3:25" x14ac:dyDescent="0.25">
      <c r="D36" s="9">
        <f t="shared" si="11"/>
        <v>28</v>
      </c>
      <c r="E36" t="s">
        <v>47</v>
      </c>
      <c r="F36" s="7">
        <f>IF($G$2="BXP",-SUMIF('Upgrade Costs'!$B$21:$B$70,$E36,'Upgrade Costs'!$G$21:$G$70)*(100%-$G$5),0)</f>
        <v>0</v>
      </c>
      <c r="G36" s="7">
        <f>IF($G$2="BXP",0,-SUMIF('Upgrade Costs'!$B$21:$B$70,$E36,'Upgrade Costs'!$P$21:$P$70)*(100%-$G$5))</f>
        <v>-18000</v>
      </c>
      <c r="H36" s="7">
        <f>IF($G$7="Yes",-'Upgrade Costs'!$W$41*2*(1-$G$5),0)</f>
        <v>0</v>
      </c>
      <c r="I36" s="7">
        <f>IF($G$7="Yes",-'Upgrade Costs'!$X$41*2*(1-$G$5),0)</f>
        <v>0</v>
      </c>
      <c r="J36" s="7">
        <f t="shared" si="0"/>
        <v>0</v>
      </c>
      <c r="K36" s="7">
        <f t="shared" si="1"/>
        <v>80337.5</v>
      </c>
      <c r="L36" s="13">
        <f t="shared" si="2"/>
        <v>0</v>
      </c>
      <c r="M36" s="13">
        <f t="shared" si="2"/>
        <v>62337.5</v>
      </c>
      <c r="Q36">
        <f t="shared" si="7"/>
        <v>27</v>
      </c>
      <c r="R36" s="14">
        <f t="shared" si="10"/>
        <v>77273.580681818174</v>
      </c>
      <c r="S36" s="14">
        <f t="shared" si="10"/>
        <v>127631.25</v>
      </c>
      <c r="T36" s="15" t="s">
        <v>47</v>
      </c>
      <c r="U36" s="19">
        <f t="shared" si="6"/>
        <v>6377.954545454545</v>
      </c>
      <c r="V36" s="14">
        <f t="shared" si="3"/>
        <v>10550</v>
      </c>
      <c r="W36" s="21"/>
      <c r="X36" s="16">
        <f t="shared" si="4"/>
        <v>18.222727272727273</v>
      </c>
      <c r="Y36" s="16">
        <f>8440/440</f>
        <v>19.181818181818183</v>
      </c>
    </row>
    <row r="37" spans="3:25" x14ac:dyDescent="0.25">
      <c r="D37" s="9">
        <f t="shared" si="11"/>
        <v>27</v>
      </c>
      <c r="E37" t="s">
        <v>48</v>
      </c>
      <c r="F37" s="7">
        <f>IF($G$2="BXP",-SUMIF('Upgrade Costs'!$B$21:$B$70,$E37,'Upgrade Costs'!$G$21:$G$70)*(100%-$G$5),0)</f>
        <v>0</v>
      </c>
      <c r="G37" s="7">
        <f>IF($G$2="BXP",0,-SUMIF('Upgrade Costs'!$B$21:$B$70,$E37,'Upgrade Costs'!$P$21:$P$70)*(100%-$G$5))</f>
        <v>-20400</v>
      </c>
      <c r="H37" s="7">
        <f>IF($G$7="Yes",-'Upgrade Costs'!$W$41*2*(1-$G$5),0)</f>
        <v>0</v>
      </c>
      <c r="I37" s="7">
        <f>IF($G$7="Yes",-'Upgrade Costs'!$X$41*2*(1-$G$5),0)</f>
        <v>0</v>
      </c>
      <c r="J37" s="7">
        <f t="shared" si="0"/>
        <v>0</v>
      </c>
      <c r="K37" s="7">
        <f t="shared" si="1"/>
        <v>82687.5</v>
      </c>
      <c r="L37" s="13">
        <f t="shared" si="2"/>
        <v>0</v>
      </c>
      <c r="M37" s="13">
        <f t="shared" si="2"/>
        <v>62287.5</v>
      </c>
      <c r="Q37">
        <f t="shared" si="7"/>
        <v>26</v>
      </c>
      <c r="R37" s="14">
        <f t="shared" si="10"/>
        <v>83863.126136363629</v>
      </c>
      <c r="S37" s="14">
        <f t="shared" si="10"/>
        <v>138531.25</v>
      </c>
      <c r="T37" s="15" t="s">
        <v>48</v>
      </c>
      <c r="U37" s="19">
        <f t="shared" si="6"/>
        <v>6589.5454545454531</v>
      </c>
      <c r="V37" s="14">
        <f t="shared" si="3"/>
        <v>10900</v>
      </c>
      <c r="W37" s="21"/>
      <c r="X37" s="16">
        <f t="shared" si="4"/>
        <v>18.827272727272724</v>
      </c>
      <c r="Y37" s="16">
        <f>8720/440</f>
        <v>19.818181818181817</v>
      </c>
    </row>
    <row r="38" spans="3:25" x14ac:dyDescent="0.25">
      <c r="D38" s="9">
        <f t="shared" si="11"/>
        <v>26</v>
      </c>
      <c r="E38" t="s">
        <v>49</v>
      </c>
      <c r="F38" s="7">
        <f>IF($G$2="BXP",-SUMIF('Upgrade Costs'!$B$21:$B$70,$E38,'Upgrade Costs'!$G$21:$G$70)*(100%-$G$5),0)</f>
        <v>0</v>
      </c>
      <c r="G38" s="7">
        <f>IF($G$2="BXP",0,-SUMIF('Upgrade Costs'!$B$21:$B$70,$E38,'Upgrade Costs'!$P$21:$P$70)*(100%-$G$5))</f>
        <v>-23080</v>
      </c>
      <c r="H38" s="7">
        <f>IF($G$7="Yes",-'Upgrade Costs'!$W$41*2*(1-$G$5),0)</f>
        <v>0</v>
      </c>
      <c r="I38" s="7">
        <f>IF($G$7="Yes",-'Upgrade Costs'!$X$41*2*(1-$G$5),0)</f>
        <v>0</v>
      </c>
      <c r="J38" s="7">
        <f t="shared" si="0"/>
        <v>0</v>
      </c>
      <c r="K38" s="7">
        <f t="shared" si="1"/>
        <v>88287.5</v>
      </c>
      <c r="L38" s="13">
        <f t="shared" si="2"/>
        <v>0</v>
      </c>
      <c r="M38" s="13">
        <f t="shared" si="2"/>
        <v>65207.5</v>
      </c>
      <c r="Q38">
        <f t="shared" si="7"/>
        <v>25</v>
      </c>
      <c r="R38" s="14">
        <f t="shared" si="10"/>
        <v>90634.035227272718</v>
      </c>
      <c r="S38" s="14">
        <f t="shared" si="10"/>
        <v>149731.25</v>
      </c>
      <c r="T38" s="15" t="s">
        <v>49</v>
      </c>
      <c r="U38" s="14">
        <f t="shared" si="6"/>
        <v>6770.9090909090901</v>
      </c>
      <c r="V38" s="14">
        <f t="shared" si="3"/>
        <v>11200</v>
      </c>
      <c r="W38" s="21"/>
      <c r="X38" s="16">
        <f t="shared" si="4"/>
        <v>19.345454545454544</v>
      </c>
      <c r="Y38" s="16">
        <f>8960/440</f>
        <v>20.363636363636363</v>
      </c>
    </row>
    <row r="39" spans="3:25" x14ac:dyDescent="0.25">
      <c r="D39" s="9">
        <f t="shared" si="11"/>
        <v>25</v>
      </c>
      <c r="E39" t="s">
        <v>50</v>
      </c>
      <c r="F39" s="7">
        <f>IF($G$2="BXP",-SUMIF('Upgrade Costs'!$B$21:$B$70,$E39,'Upgrade Costs'!$G$21:$G$70)*(100%-$G$5),0)</f>
        <v>0</v>
      </c>
      <c r="G39" s="7">
        <f>IF($G$2="BXP",0,-SUMIF('Upgrade Costs'!$B$21:$B$70,$E39,'Upgrade Costs'!$P$21:$P$70)*(100%-$G$5))</f>
        <v>-26120</v>
      </c>
      <c r="H39" s="7">
        <f>IF($G$7="Yes",-'Upgrade Costs'!$W$41*2*(1-$G$5),0)</f>
        <v>0</v>
      </c>
      <c r="I39" s="7">
        <f>IF($G$7="Yes",-'Upgrade Costs'!$X$41*2*(1-$G$5),0)</f>
        <v>0</v>
      </c>
      <c r="J39" s="7">
        <f t="shared" si="0"/>
        <v>0</v>
      </c>
      <c r="K39" s="7">
        <f t="shared" si="1"/>
        <v>94150</v>
      </c>
      <c r="L39" s="13">
        <f t="shared" si="2"/>
        <v>0</v>
      </c>
      <c r="M39" s="13">
        <f t="shared" si="2"/>
        <v>68030</v>
      </c>
      <c r="Q39">
        <f t="shared" si="7"/>
        <v>24</v>
      </c>
      <c r="R39" s="14">
        <f t="shared" si="10"/>
        <v>97616.535227272718</v>
      </c>
      <c r="S39" s="14">
        <f t="shared" si="10"/>
        <v>161281.25</v>
      </c>
      <c r="T39" s="15" t="s">
        <v>50</v>
      </c>
      <c r="U39" s="19">
        <f t="shared" si="6"/>
        <v>6982.5</v>
      </c>
      <c r="V39" s="14">
        <f t="shared" si="3"/>
        <v>11550</v>
      </c>
      <c r="W39" s="21"/>
      <c r="X39" s="16">
        <f t="shared" si="4"/>
        <v>19.95</v>
      </c>
      <c r="Y39" s="16">
        <f>9240/440</f>
        <v>21</v>
      </c>
    </row>
    <row r="40" spans="3:25" x14ac:dyDescent="0.25">
      <c r="D40" s="9">
        <f t="shared" si="11"/>
        <v>24</v>
      </c>
      <c r="E40" t="s">
        <v>51</v>
      </c>
      <c r="F40" s="7">
        <f>IF($G$2="BXP",-SUMIF('Upgrade Costs'!$B$21:$B$70,$E40,'Upgrade Costs'!$G$21:$G$70)*(100%-$G$5),0)</f>
        <v>0</v>
      </c>
      <c r="G40" s="7">
        <f>IF($G$2="BXP",0,-SUMIF('Upgrade Costs'!$B$21:$B$70,$E40,'Upgrade Costs'!$P$21:$P$70)*(100%-$G$5))</f>
        <v>-29520</v>
      </c>
      <c r="H40" s="7">
        <f>IF($G$7="Yes",-'Upgrade Costs'!$W$41*2*(1-$G$5),0)</f>
        <v>0</v>
      </c>
      <c r="I40" s="7">
        <f>IF($G$7="Yes",-'Upgrade Costs'!$X$41*2*(1-$G$5),0)</f>
        <v>0</v>
      </c>
      <c r="J40" s="7">
        <f t="shared" si="0"/>
        <v>0</v>
      </c>
      <c r="K40" s="7">
        <f t="shared" si="1"/>
        <v>100162.5</v>
      </c>
      <c r="L40" s="13">
        <f t="shared" si="2"/>
        <v>0</v>
      </c>
      <c r="M40" s="13">
        <f t="shared" si="2"/>
        <v>70642.5</v>
      </c>
      <c r="Q40">
        <f t="shared" si="7"/>
        <v>23</v>
      </c>
      <c r="R40" s="14">
        <f t="shared" si="10"/>
        <v>104810.62613636363</v>
      </c>
      <c r="S40" s="14">
        <f t="shared" si="10"/>
        <v>173181.25</v>
      </c>
      <c r="T40" s="15" t="s">
        <v>51</v>
      </c>
      <c r="U40" s="19">
        <f t="shared" si="6"/>
        <v>7194.090909090909</v>
      </c>
      <c r="V40" s="14">
        <f t="shared" si="3"/>
        <v>11900</v>
      </c>
      <c r="W40" s="21"/>
      <c r="X40" s="16">
        <f t="shared" si="4"/>
        <v>20.554545454545455</v>
      </c>
      <c r="Y40" s="16">
        <f>9520/440</f>
        <v>21.636363636363637</v>
      </c>
    </row>
    <row r="41" spans="3:25" x14ac:dyDescent="0.25">
      <c r="D41" s="9">
        <f t="shared" si="11"/>
        <v>23</v>
      </c>
      <c r="E41" t="s">
        <v>52</v>
      </c>
      <c r="F41" s="7">
        <f>IF($G$2="BXP",-SUMIF('Upgrade Costs'!$B$21:$B$70,$E41,'Upgrade Costs'!$G$21:$G$70)*(100%-$G$5),0)</f>
        <v>0</v>
      </c>
      <c r="G41" s="7">
        <f>IF($G$2="BXP",0,-SUMIF('Upgrade Costs'!$B$21:$B$70,$E41,'Upgrade Costs'!$P$21:$P$70)*(100%-$G$5))</f>
        <v>-33360</v>
      </c>
      <c r="H41" s="7">
        <f>IF($G$7="Yes",-'Upgrade Costs'!$W$41*2*(1-$G$5),0)</f>
        <v>0</v>
      </c>
      <c r="I41" s="7">
        <f>IF($G$7="Yes",-'Upgrade Costs'!$X$41*2*(1-$G$5),0)</f>
        <v>0</v>
      </c>
      <c r="J41" s="7">
        <f t="shared" si="0"/>
        <v>0</v>
      </c>
      <c r="K41" s="7">
        <f t="shared" si="1"/>
        <v>106325</v>
      </c>
      <c r="L41" s="13">
        <f t="shared" si="2"/>
        <v>0</v>
      </c>
      <c r="M41" s="13">
        <f t="shared" si="2"/>
        <v>72965</v>
      </c>
      <c r="Q41">
        <f t="shared" si="7"/>
        <v>22</v>
      </c>
      <c r="R41" s="14">
        <f>R38+3*AVERAGE(U38:U41)</f>
        <v>111876.25113636363</v>
      </c>
      <c r="S41" s="14">
        <f>S38+3*AVERAGE(V38:V41)</f>
        <v>184868.75</v>
      </c>
      <c r="T41" s="15" t="s">
        <v>52</v>
      </c>
      <c r="U41" s="14">
        <f t="shared" si="6"/>
        <v>7375.454545454546</v>
      </c>
      <c r="V41" s="14">
        <f t="shared" si="3"/>
        <v>12200</v>
      </c>
      <c r="W41" s="21"/>
      <c r="X41" s="16">
        <f t="shared" si="4"/>
        <v>21.072727272727274</v>
      </c>
      <c r="Y41" s="16">
        <f>9760/440</f>
        <v>22.181818181818183</v>
      </c>
    </row>
    <row r="42" spans="3:25" x14ac:dyDescent="0.25">
      <c r="D42" s="9">
        <f t="shared" si="11"/>
        <v>22</v>
      </c>
      <c r="E42" t="s">
        <v>53</v>
      </c>
      <c r="F42" s="7">
        <f>IF($G$2="BXP",-SUMIF('Upgrade Costs'!$B$21:$B$70,$E42,'Upgrade Costs'!$G$21:$G$70)*(100%-$G$5),0)</f>
        <v>0</v>
      </c>
      <c r="G42" s="7">
        <f>IF($G$2="BXP",0,-SUMIF('Upgrade Costs'!$B$21:$B$70,$E42,'Upgrade Costs'!$P$21:$P$70)*(100%-$G$5))</f>
        <v>-37760</v>
      </c>
      <c r="H42" s="7">
        <f>IF($G$7="Yes",-'Upgrade Costs'!$W$41*2*(1-$G$5),0)</f>
        <v>0</v>
      </c>
      <c r="I42" s="7">
        <f>IF($G$7="Yes",-'Upgrade Costs'!$X$41*2*(1-$G$5),0)</f>
        <v>0</v>
      </c>
      <c r="J42" s="7">
        <f t="shared" si="0"/>
        <v>0</v>
      </c>
      <c r="K42" s="7">
        <f t="shared" si="1"/>
        <v>113262.5</v>
      </c>
      <c r="L42" s="13">
        <f t="shared" si="2"/>
        <v>0</v>
      </c>
      <c r="M42" s="13">
        <f t="shared" si="2"/>
        <v>75502.5</v>
      </c>
      <c r="Q42">
        <f t="shared" si="7"/>
        <v>21</v>
      </c>
      <c r="R42" s="14">
        <f t="shared" ref="R42:S57" si="12">R41+U42</f>
        <v>119463.29659090909</v>
      </c>
      <c r="S42" s="14">
        <f t="shared" si="12"/>
        <v>197418.75</v>
      </c>
      <c r="T42" s="15" t="s">
        <v>53</v>
      </c>
      <c r="U42" s="14">
        <f t="shared" si="6"/>
        <v>7587.045454545454</v>
      </c>
      <c r="V42" s="14">
        <f t="shared" si="3"/>
        <v>12550</v>
      </c>
      <c r="W42" s="21"/>
      <c r="X42" s="16">
        <f t="shared" si="4"/>
        <v>21.677272727272726</v>
      </c>
      <c r="Y42" s="16">
        <f>10040/440</f>
        <v>22.818181818181817</v>
      </c>
    </row>
    <row r="43" spans="3:25" x14ac:dyDescent="0.25">
      <c r="D43" s="9">
        <f t="shared" si="11"/>
        <v>21</v>
      </c>
      <c r="E43" t="s">
        <v>54</v>
      </c>
      <c r="F43" s="7">
        <f>IF($G$2="BXP",-SUMIF('Upgrade Costs'!$B$21:$B$70,$E43,'Upgrade Costs'!$G$21:$G$70)*(100%-$G$5),0)</f>
        <v>0</v>
      </c>
      <c r="G43" s="7">
        <f>IF($G$2="BXP",0,-SUMIF('Upgrade Costs'!$B$21:$B$70,$E43,'Upgrade Costs'!$P$21:$P$70)*(100%-$G$5))</f>
        <v>-42560</v>
      </c>
      <c r="H43" s="7">
        <f>IF($G$7="Yes",-'Upgrade Costs'!$W$41*2*(1-$G$5),0)</f>
        <v>0</v>
      </c>
      <c r="I43" s="7">
        <f>IF($G$7="Yes",-'Upgrade Costs'!$X$41*2*(1-$G$5),0)</f>
        <v>0</v>
      </c>
      <c r="J43" s="7">
        <f t="shared" si="0"/>
        <v>0</v>
      </c>
      <c r="K43" s="7">
        <f t="shared" si="1"/>
        <v>119837.5</v>
      </c>
      <c r="L43" s="13">
        <f t="shared" si="2"/>
        <v>0</v>
      </c>
      <c r="M43" s="13">
        <f t="shared" si="2"/>
        <v>77277.5</v>
      </c>
      <c r="Q43">
        <f t="shared" si="7"/>
        <v>20</v>
      </c>
      <c r="R43" s="14">
        <f t="shared" si="12"/>
        <v>127261.93295454545</v>
      </c>
      <c r="S43" s="14">
        <f t="shared" si="12"/>
        <v>210318.75</v>
      </c>
      <c r="T43" s="15" t="s">
        <v>54</v>
      </c>
      <c r="U43" s="14">
        <f t="shared" si="6"/>
        <v>7798.6363636363631</v>
      </c>
      <c r="V43" s="14">
        <f t="shared" si="3"/>
        <v>12900</v>
      </c>
      <c r="W43" s="21"/>
      <c r="X43" s="16">
        <f t="shared" si="4"/>
        <v>22.281818181818181</v>
      </c>
      <c r="Y43" s="16">
        <f>10320/440</f>
        <v>23.454545454545453</v>
      </c>
    </row>
    <row r="44" spans="3:25" x14ac:dyDescent="0.25">
      <c r="D44" s="9">
        <f t="shared" si="11"/>
        <v>20</v>
      </c>
      <c r="E44" t="s">
        <v>55</v>
      </c>
      <c r="F44" s="7">
        <f>IF($G$2="BXP",-SUMIF('Upgrade Costs'!$B$21:$B$70,$E44,'Upgrade Costs'!$G$21:$G$70)*(100%-$G$5),0)</f>
        <v>0</v>
      </c>
      <c r="G44" s="7">
        <f>IF($G$2="BXP",0,-SUMIF('Upgrade Costs'!$B$21:$B$70,$E44,'Upgrade Costs'!$P$21:$P$70)*(100%-$G$5))</f>
        <v>-42560</v>
      </c>
      <c r="H44" s="7">
        <f>IF($G$7="Yes",-'Upgrade Costs'!$W$41*2*(1-$G$5),0)</f>
        <v>0</v>
      </c>
      <c r="I44" s="7">
        <f>IF($G$7="Yes",-'Upgrade Costs'!$X$41*2*(1-$G$5),0)</f>
        <v>0</v>
      </c>
      <c r="J44" s="14">
        <f t="shared" si="0"/>
        <v>0</v>
      </c>
      <c r="K44" s="7">
        <f t="shared" si="1"/>
        <v>126625</v>
      </c>
      <c r="L44" s="13">
        <f t="shared" si="2"/>
        <v>0</v>
      </c>
      <c r="M44" s="13">
        <f t="shared" si="2"/>
        <v>84065</v>
      </c>
      <c r="Q44">
        <f t="shared" si="7"/>
        <v>19</v>
      </c>
      <c r="R44" s="14">
        <f t="shared" si="12"/>
        <v>137236.93295454545</v>
      </c>
      <c r="S44" s="14">
        <f t="shared" si="12"/>
        <v>226818.75</v>
      </c>
      <c r="T44" s="15" t="s">
        <v>55</v>
      </c>
      <c r="U44" s="14">
        <f t="shared" si="6"/>
        <v>9975</v>
      </c>
      <c r="V44" s="14">
        <f t="shared" si="3"/>
        <v>16500</v>
      </c>
      <c r="W44" s="21"/>
      <c r="X44" s="16">
        <f t="shared" si="4"/>
        <v>28.5</v>
      </c>
      <c r="Y44" s="16">
        <f>13200/440</f>
        <v>30</v>
      </c>
    </row>
    <row r="45" spans="3:25" x14ac:dyDescent="0.25">
      <c r="D45" s="9">
        <f t="shared" si="11"/>
        <v>19</v>
      </c>
      <c r="E45" t="s">
        <v>56</v>
      </c>
      <c r="F45" s="7">
        <f>IF($G$2="BXP",-SUMIF('Upgrade Costs'!$B$21:$B$70,$E45,'Upgrade Costs'!$G$21:$G$70)*(100%-$G$5),0)</f>
        <v>0</v>
      </c>
      <c r="G45" s="7">
        <f>IF($G$2="BXP",0,-SUMIF('Upgrade Costs'!$B$21:$B$70,$E45,'Upgrade Costs'!$P$21:$P$70)*(100%-$G$5))</f>
        <v>-47560</v>
      </c>
      <c r="H45" s="7">
        <f>IF($G$7="Yes",-'Upgrade Costs'!$W$41*2*(1-$G$5),0)</f>
        <v>0</v>
      </c>
      <c r="I45" s="7">
        <f>IF($G$7="Yes",-'Upgrade Costs'!$X$41*2*(1-$G$5),0)</f>
        <v>0</v>
      </c>
      <c r="J45" s="14">
        <f t="shared" si="0"/>
        <v>0</v>
      </c>
      <c r="K45" s="7">
        <f t="shared" si="1"/>
        <v>130312.5</v>
      </c>
      <c r="L45" s="13">
        <f t="shared" si="2"/>
        <v>0</v>
      </c>
      <c r="M45" s="13">
        <f t="shared" si="2"/>
        <v>82752.5</v>
      </c>
      <c r="Q45">
        <f t="shared" si="7"/>
        <v>18</v>
      </c>
      <c r="R45" s="14">
        <f t="shared" si="12"/>
        <v>147551.98977272728</v>
      </c>
      <c r="S45" s="14">
        <f t="shared" si="12"/>
        <v>243881.25</v>
      </c>
      <c r="T45" s="15" t="s">
        <v>56</v>
      </c>
      <c r="U45" s="14">
        <f t="shared" si="6"/>
        <v>10315.056818181818</v>
      </c>
      <c r="V45" s="14">
        <f t="shared" si="3"/>
        <v>17062.5</v>
      </c>
      <c r="W45" s="21"/>
      <c r="X45" s="16">
        <f t="shared" si="4"/>
        <v>29.47159090909091</v>
      </c>
      <c r="Y45" s="16">
        <f>13650/440</f>
        <v>31.022727272727273</v>
      </c>
    </row>
    <row r="46" spans="3:25" x14ac:dyDescent="0.25">
      <c r="D46" s="9">
        <f t="shared" si="11"/>
        <v>18</v>
      </c>
      <c r="E46" t="s">
        <v>57</v>
      </c>
      <c r="F46" s="7">
        <f>IF($G$2="BXP",-SUMIF('Upgrade Costs'!$B$21:$B$70,$E46,'Upgrade Costs'!$G$21:$G$70)*(100%-$G$5),0)</f>
        <v>0</v>
      </c>
      <c r="G46" s="7">
        <f>IF($G$2="BXP",0,-SUMIF('Upgrade Costs'!$B$21:$B$70,$E46,'Upgrade Costs'!$P$21:$P$70)*(100%-$G$5))</f>
        <v>-53060</v>
      </c>
      <c r="H46" s="7">
        <f>IF($G$7="Yes",-'Upgrade Costs'!$W$41*2*(1-$G$5),0)</f>
        <v>0</v>
      </c>
      <c r="I46" s="7">
        <f>IF($G$7="Yes",-'Upgrade Costs'!$X$41*2*(1-$G$5),0)</f>
        <v>0</v>
      </c>
      <c r="J46" s="14">
        <f t="shared" si="0"/>
        <v>0</v>
      </c>
      <c r="K46" s="7">
        <f t="shared" si="1"/>
        <v>133937.5</v>
      </c>
      <c r="L46" s="13">
        <f t="shared" si="2"/>
        <v>0</v>
      </c>
      <c r="M46" s="13">
        <f t="shared" si="2"/>
        <v>80877.5</v>
      </c>
      <c r="Q46">
        <f t="shared" si="7"/>
        <v>17</v>
      </c>
      <c r="R46" s="14">
        <f t="shared" si="12"/>
        <v>158169.31931818184</v>
      </c>
      <c r="S46" s="14">
        <f t="shared" si="12"/>
        <v>261443.75</v>
      </c>
      <c r="T46" s="15" t="s">
        <v>57</v>
      </c>
      <c r="U46" s="14">
        <f t="shared" si="6"/>
        <v>10617.329545454546</v>
      </c>
      <c r="V46" s="14">
        <f t="shared" si="3"/>
        <v>17562.5</v>
      </c>
      <c r="W46" s="21"/>
      <c r="X46" s="16">
        <f t="shared" si="4"/>
        <v>30.335227272727273</v>
      </c>
      <c r="Y46" s="16">
        <f>14050/440</f>
        <v>31.931818181818183</v>
      </c>
    </row>
    <row r="47" spans="3:25" x14ac:dyDescent="0.25">
      <c r="D47" s="9">
        <f t="shared" si="11"/>
        <v>17</v>
      </c>
      <c r="E47" t="s">
        <v>58</v>
      </c>
      <c r="F47" s="7">
        <f>IF($G$2="BXP",-SUMIF('Upgrade Costs'!$B$21:$B$70,$E47,'Upgrade Costs'!$G$21:$G$70)*(100%-$G$5),0)</f>
        <v>0</v>
      </c>
      <c r="G47" s="7">
        <f>IF($G$2="BXP",0,-SUMIF('Upgrade Costs'!$B$21:$B$70,$E47,'Upgrade Costs'!$P$21:$P$70)*(100%-$G$5))</f>
        <v>-59060</v>
      </c>
      <c r="H47" s="7">
        <f>IF($G$7="Yes",-'Upgrade Costs'!$W$41*2*(1-$G$5),0)</f>
        <v>0</v>
      </c>
      <c r="I47" s="7">
        <f>IF($G$7="Yes",-'Upgrade Costs'!$X$41*2*(1-$G$5),0)</f>
        <v>0</v>
      </c>
      <c r="J47" s="14">
        <f t="shared" si="0"/>
        <v>0</v>
      </c>
      <c r="K47" s="7">
        <f t="shared" si="1"/>
        <v>137625</v>
      </c>
      <c r="L47" s="13">
        <f t="shared" si="2"/>
        <v>0</v>
      </c>
      <c r="M47" s="13">
        <f t="shared" si="2"/>
        <v>78565</v>
      </c>
      <c r="P47" s="7"/>
      <c r="Q47">
        <f t="shared" si="7"/>
        <v>16</v>
      </c>
      <c r="R47" s="14">
        <f t="shared" si="12"/>
        <v>169088.9215909091</v>
      </c>
      <c r="S47" s="14">
        <f t="shared" si="12"/>
        <v>279506.25</v>
      </c>
      <c r="T47" s="15" t="s">
        <v>58</v>
      </c>
      <c r="U47" s="14">
        <f t="shared" si="6"/>
        <v>10919.602272727272</v>
      </c>
      <c r="V47" s="14">
        <f t="shared" si="3"/>
        <v>18062.5</v>
      </c>
      <c r="W47" s="21"/>
      <c r="X47" s="16">
        <f t="shared" si="4"/>
        <v>31.198863636363637</v>
      </c>
      <c r="Y47" s="16">
        <f>14450/440</f>
        <v>32.840909090909093</v>
      </c>
    </row>
    <row r="48" spans="3:25" x14ac:dyDescent="0.25">
      <c r="D48" s="9">
        <f t="shared" si="11"/>
        <v>16</v>
      </c>
      <c r="E48" t="s">
        <v>59</v>
      </c>
      <c r="F48" s="7">
        <f>IF($G$2="BXP",-SUMIF('Upgrade Costs'!$B$21:$B$70,$E48,'Upgrade Costs'!$G$21:$G$70)*(100%-$G$5),0)</f>
        <v>0</v>
      </c>
      <c r="G48" s="7">
        <f>IF($G$2="BXP",0,-SUMIF('Upgrade Costs'!$B$21:$B$70,$E48,'Upgrade Costs'!$P$21:$P$70)*(100%-$G$5))</f>
        <v>-65560</v>
      </c>
      <c r="H48" s="7">
        <f>IF($G$7="Yes",-'Upgrade Costs'!$W$41*2*(1-$G$5),0)</f>
        <v>0</v>
      </c>
      <c r="I48" s="7">
        <f>IF($G$7="Yes",-'Upgrade Costs'!$X$41*2*(1-$G$5),0)</f>
        <v>0</v>
      </c>
      <c r="J48" s="14">
        <f t="shared" si="0"/>
        <v>0</v>
      </c>
      <c r="K48" s="7">
        <f t="shared" si="1"/>
        <v>145662.5</v>
      </c>
      <c r="L48" s="13">
        <f t="shared" si="2"/>
        <v>0</v>
      </c>
      <c r="M48" s="13">
        <f t="shared" si="2"/>
        <v>80102.5</v>
      </c>
      <c r="Q48">
        <f t="shared" si="7"/>
        <v>15</v>
      </c>
      <c r="R48" s="14">
        <f t="shared" si="12"/>
        <v>180348.58068181819</v>
      </c>
      <c r="S48" s="14">
        <f t="shared" si="12"/>
        <v>298131.25</v>
      </c>
      <c r="T48" s="15" t="s">
        <v>59</v>
      </c>
      <c r="U48" s="14">
        <f t="shared" si="6"/>
        <v>11259.659090909092</v>
      </c>
      <c r="V48" s="14">
        <f t="shared" si="3"/>
        <v>18625</v>
      </c>
      <c r="W48" s="21"/>
      <c r="X48" s="16">
        <f t="shared" si="4"/>
        <v>32.170454545454547</v>
      </c>
      <c r="Y48" s="16">
        <f>14900/440</f>
        <v>33.863636363636367</v>
      </c>
    </row>
    <row r="49" spans="4:27" x14ac:dyDescent="0.25">
      <c r="D49" s="9">
        <f t="shared" si="11"/>
        <v>15</v>
      </c>
      <c r="E49" t="s">
        <v>60</v>
      </c>
      <c r="F49" s="7">
        <f>IF($G$2="BXP",-SUMIF('Upgrade Costs'!$B$21:$B$70,$E49,'Upgrade Costs'!$G$21:$G$70)*(100%-$G$5),0)</f>
        <v>0</v>
      </c>
      <c r="G49" s="7">
        <f>IF($G$2="BXP",0,-SUMIF('Upgrade Costs'!$B$21:$B$70,$E49,'Upgrade Costs'!$P$21:$P$70)*(100%-$G$5))</f>
        <v>-72560</v>
      </c>
      <c r="H49" s="7">
        <f>IF($G$7="Yes",-'Upgrade Costs'!$W$41*2*(1-$G$5),0)</f>
        <v>0</v>
      </c>
      <c r="I49" s="7">
        <f>IF($G$7="Yes",-'Upgrade Costs'!$X$41*2*(1-$G$5),0)</f>
        <v>0</v>
      </c>
      <c r="J49" s="14">
        <f t="shared" si="0"/>
        <v>0</v>
      </c>
      <c r="K49" s="7">
        <f t="shared" si="1"/>
        <v>153887.5</v>
      </c>
      <c r="L49" s="13">
        <f t="shared" si="2"/>
        <v>0</v>
      </c>
      <c r="M49" s="13">
        <f t="shared" si="2"/>
        <v>81327.5</v>
      </c>
      <c r="Q49">
        <f t="shared" si="7"/>
        <v>14</v>
      </c>
      <c r="R49" s="14">
        <f t="shared" si="12"/>
        <v>191910.51250000001</v>
      </c>
      <c r="S49" s="14">
        <f t="shared" si="12"/>
        <v>317256.25</v>
      </c>
      <c r="T49" s="15" t="s">
        <v>60</v>
      </c>
      <c r="U49" s="14">
        <f t="shared" si="6"/>
        <v>11561.931818181818</v>
      </c>
      <c r="V49" s="14">
        <f t="shared" si="3"/>
        <v>19125</v>
      </c>
      <c r="W49" s="21"/>
      <c r="X49" s="16">
        <f t="shared" si="4"/>
        <v>33.034090909090907</v>
      </c>
      <c r="Y49" s="16">
        <v>34.772727272727273</v>
      </c>
    </row>
    <row r="50" spans="4:27" x14ac:dyDescent="0.25">
      <c r="D50" s="9">
        <f t="shared" si="11"/>
        <v>14</v>
      </c>
      <c r="E50" t="s">
        <v>61</v>
      </c>
      <c r="F50" s="7">
        <f>IF($G$2="BXP",-SUMIF('Upgrade Costs'!$B$21:$B$70,$E50,'Upgrade Costs'!$G$21:$G$70)*(100%-$G$5),0)</f>
        <v>0</v>
      </c>
      <c r="G50" s="7">
        <f>IF($G$2="BXP",0,-SUMIF('Upgrade Costs'!$B$21:$B$70,$E50,'Upgrade Costs'!$P$21:$P$70)*(100%-$G$5))</f>
        <v>-80060</v>
      </c>
      <c r="H50" s="7">
        <f>IF($G$7="Yes",-'Upgrade Costs'!$W$41*2*(1-$G$5),0)</f>
        <v>0</v>
      </c>
      <c r="I50" s="7">
        <f>IF($G$7="Yes",-'Upgrade Costs'!$X$41*2*(1-$G$5),0)</f>
        <v>0</v>
      </c>
      <c r="J50" s="14">
        <f t="shared" si="0"/>
        <v>0</v>
      </c>
      <c r="K50" s="7">
        <f t="shared" si="1"/>
        <v>162437.5</v>
      </c>
      <c r="L50" s="13">
        <f t="shared" si="2"/>
        <v>0</v>
      </c>
      <c r="M50" s="13">
        <f t="shared" si="2"/>
        <v>82377.5</v>
      </c>
      <c r="Q50">
        <f t="shared" si="7"/>
        <v>13</v>
      </c>
      <c r="R50" s="14">
        <f t="shared" si="12"/>
        <v>203812.50113636366</v>
      </c>
      <c r="S50" s="14">
        <f t="shared" si="12"/>
        <v>336943.75</v>
      </c>
      <c r="T50" s="15" t="s">
        <v>61</v>
      </c>
      <c r="U50" s="14">
        <f t="shared" si="6"/>
        <v>11901.988636363638</v>
      </c>
      <c r="V50" s="14">
        <f t="shared" si="3"/>
        <v>19687.5</v>
      </c>
      <c r="W50" s="21"/>
      <c r="X50" s="16">
        <f t="shared" si="4"/>
        <v>34.00568181818182</v>
      </c>
      <c r="Y50" s="16">
        <f>15750/440</f>
        <v>35.795454545454547</v>
      </c>
    </row>
    <row r="51" spans="4:27" x14ac:dyDescent="0.25">
      <c r="D51" s="9">
        <f t="shared" si="11"/>
        <v>13</v>
      </c>
      <c r="E51" t="s">
        <v>62</v>
      </c>
      <c r="F51" s="7">
        <f>IF($G$2="BXP",-SUMIF('Upgrade Costs'!$B$21:$B$70,$E51,'Upgrade Costs'!$G$21:$G$70)*(100%-$G$5),0)</f>
        <v>0</v>
      </c>
      <c r="G51" s="7">
        <f>IF($G$2="BXP",0,-SUMIF('Upgrade Costs'!$B$21:$B$70,$E51,'Upgrade Costs'!$P$21:$P$70)*(100%-$G$5))</f>
        <v>-88060</v>
      </c>
      <c r="H51" s="7">
        <f>IF($G$7="Yes",-'Upgrade Costs'!$W$41*2*(1-$G$5),0)</f>
        <v>0</v>
      </c>
      <c r="I51" s="7">
        <f>IF($G$7="Yes",-'Upgrade Costs'!$X$41*2*(1-$G$5),0)</f>
        <v>0</v>
      </c>
      <c r="J51" s="14">
        <f t="shared" si="0"/>
        <v>0</v>
      </c>
      <c r="K51" s="7">
        <f t="shared" si="1"/>
        <v>171175</v>
      </c>
      <c r="L51" s="13">
        <f t="shared" si="2"/>
        <v>0</v>
      </c>
      <c r="M51" s="13">
        <f t="shared" si="2"/>
        <v>83115</v>
      </c>
      <c r="Q51">
        <f t="shared" si="7"/>
        <v>12</v>
      </c>
      <c r="R51" s="14">
        <f t="shared" si="12"/>
        <v>216016.76250000001</v>
      </c>
      <c r="S51" s="14">
        <f t="shared" si="12"/>
        <v>357131.25</v>
      </c>
      <c r="T51" s="15" t="s">
        <v>62</v>
      </c>
      <c r="U51" s="14">
        <f t="shared" si="6"/>
        <v>12204.261363636362</v>
      </c>
      <c r="V51" s="14">
        <f t="shared" si="3"/>
        <v>20187.5</v>
      </c>
      <c r="W51" s="21"/>
      <c r="X51" s="16">
        <f t="shared" si="4"/>
        <v>34.86931818181818</v>
      </c>
      <c r="Y51" s="16">
        <f>16150/440</f>
        <v>36.704545454545453</v>
      </c>
    </row>
    <row r="52" spans="4:27" x14ac:dyDescent="0.25">
      <c r="D52" s="9">
        <f t="shared" si="11"/>
        <v>12</v>
      </c>
      <c r="E52" t="s">
        <v>63</v>
      </c>
      <c r="F52" s="7">
        <f>IF($G$2="BXP",-SUMIF('Upgrade Costs'!$B$21:$B$70,$E52,'Upgrade Costs'!$G$21:$G$70)*(100%-$G$5),0)</f>
        <v>0</v>
      </c>
      <c r="G52" s="7">
        <f>IF($G$2="BXP",0,-SUMIF('Upgrade Costs'!$B$21:$B$70,$E52,'Upgrade Costs'!$P$21:$P$70)*(100%-$G$5))</f>
        <v>-98060</v>
      </c>
      <c r="H52" s="7">
        <f>IF($G$7="Yes",-'Upgrade Costs'!$W$41*2*(1-$G$5),0)</f>
        <v>0</v>
      </c>
      <c r="I52" s="7">
        <f>IF($G$7="Yes",-'Upgrade Costs'!$X$41*2*(1-$G$5),0)</f>
        <v>0</v>
      </c>
      <c r="J52" s="14">
        <f t="shared" si="0"/>
        <v>0</v>
      </c>
      <c r="K52" s="7">
        <f t="shared" si="1"/>
        <v>180162.5</v>
      </c>
      <c r="L52" s="13">
        <f t="shared" si="2"/>
        <v>0</v>
      </c>
      <c r="M52" s="13">
        <f t="shared" si="2"/>
        <v>82102.5</v>
      </c>
      <c r="Q52">
        <f t="shared" si="7"/>
        <v>11</v>
      </c>
      <c r="R52" s="14">
        <f t="shared" si="12"/>
        <v>228523.2965909091</v>
      </c>
      <c r="S52" s="14">
        <f t="shared" si="12"/>
        <v>377818.75</v>
      </c>
      <c r="T52" s="15" t="s">
        <v>63</v>
      </c>
      <c r="U52" s="14">
        <f t="shared" si="6"/>
        <v>12506.534090909092</v>
      </c>
      <c r="V52" s="14">
        <f t="shared" si="3"/>
        <v>20687.5</v>
      </c>
      <c r="W52" s="21"/>
      <c r="X52" s="16">
        <f t="shared" si="4"/>
        <v>35.732954545454547</v>
      </c>
      <c r="Y52" s="16">
        <f>16550/440</f>
        <v>37.613636363636367</v>
      </c>
    </row>
    <row r="53" spans="4:27" x14ac:dyDescent="0.25">
      <c r="D53" s="9">
        <f t="shared" si="11"/>
        <v>11</v>
      </c>
      <c r="E53" t="s">
        <v>64</v>
      </c>
      <c r="F53" s="7">
        <f>IF($G$2="BXP",-SUMIF('Upgrade Costs'!$B$21:$B$70,$E53,'Upgrade Costs'!$G$21:$G$70)*(100%-$G$5),0)</f>
        <v>0</v>
      </c>
      <c r="G53" s="7">
        <f>IF($G$2="BXP",0,-SUMIF('Upgrade Costs'!$B$21:$B$70,$E53,'Upgrade Costs'!$P$21:$P$70)*(100%-$G$5))</f>
        <v>-110060</v>
      </c>
      <c r="H53" s="7">
        <f>IF($G$7="Yes",-'Upgrade Costs'!$W$41*2*(1-$G$5),0)</f>
        <v>0</v>
      </c>
      <c r="I53" s="7">
        <f>IF($G$7="Yes",-'Upgrade Costs'!$X$41*2*(1-$G$5),0)</f>
        <v>0</v>
      </c>
      <c r="J53" s="14">
        <f t="shared" si="0"/>
        <v>0</v>
      </c>
      <c r="K53" s="7">
        <f t="shared" si="1"/>
        <v>189400</v>
      </c>
      <c r="L53" s="13">
        <f t="shared" si="2"/>
        <v>0</v>
      </c>
      <c r="M53" s="13">
        <f t="shared" si="2"/>
        <v>79340</v>
      </c>
      <c r="Q53">
        <f t="shared" si="7"/>
        <v>10</v>
      </c>
      <c r="R53" s="14">
        <f t="shared" si="12"/>
        <v>241369.88750000001</v>
      </c>
      <c r="S53" s="14">
        <f t="shared" si="12"/>
        <v>399068.75</v>
      </c>
      <c r="T53" s="15" t="s">
        <v>64</v>
      </c>
      <c r="U53" s="14">
        <f t="shared" si="6"/>
        <v>12846.590909090908</v>
      </c>
      <c r="V53" s="14">
        <f t="shared" si="3"/>
        <v>21250</v>
      </c>
      <c r="W53" s="21"/>
      <c r="X53" s="16">
        <f t="shared" si="4"/>
        <v>36.704545454545453</v>
      </c>
      <c r="Y53" s="16">
        <f>17000/440</f>
        <v>38.636363636363633</v>
      </c>
    </row>
    <row r="54" spans="4:27" x14ac:dyDescent="0.25">
      <c r="D54" s="9">
        <f t="shared" si="11"/>
        <v>10</v>
      </c>
      <c r="E54" t="s">
        <v>65</v>
      </c>
      <c r="F54" s="7">
        <f>IF($G$2="BXP",-SUMIF('Upgrade Costs'!$B$21:$B$70,$E54,'Upgrade Costs'!$G$21:$G$70)*(100%-$G$5),0)</f>
        <v>0</v>
      </c>
      <c r="G54" s="7">
        <f>IF($G$2="BXP",0,-SUMIF('Upgrade Costs'!$B$21:$B$70,$E54,'Upgrade Costs'!$P$21:$P$70)*(100%-$G$5))</f>
        <v>-110060</v>
      </c>
      <c r="H54" s="7">
        <f>IF($G$7="Yes",-'Upgrade Costs'!$W$41*2*(1-$G$5),0)</f>
        <v>0</v>
      </c>
      <c r="I54" s="7">
        <f>IF($G$7="Yes",-'Upgrade Costs'!$X$41*2*(1-$G$5),0)</f>
        <v>0</v>
      </c>
      <c r="J54" s="14">
        <f t="shared" si="0"/>
        <v>0</v>
      </c>
      <c r="K54" s="14">
        <f>IF($G$2="BXP",0,IF(($G$4-$D54)&gt;0,($G$4-$D54)*$V$63+$S$62-SUMIF($Q$14:$Q$63,$D54,$S$14:$S$63)+IF($G$8="Yes",SUMIF($Q$14:$Q$63,$D54-$G$4,$V$14:$V$63),0),SUMIF($Q$14:$Q$63,$D54-$G$4+1,$S$14:$S$63)-SUMIF($Q$14:$Q$63,$D54,$S$14:$S$63))+IF($G$8="Yes",SUMIF($Q$14:$Q$63,MAX(0,$D54-$G$4),$V$14:$V$63),0))</f>
        <v>198825</v>
      </c>
      <c r="L54" s="13">
        <f t="shared" si="2"/>
        <v>0</v>
      </c>
      <c r="M54" s="13">
        <f t="shared" si="2"/>
        <v>88765</v>
      </c>
      <c r="Q54">
        <f t="shared" si="7"/>
        <v>9</v>
      </c>
      <c r="R54" s="14">
        <f t="shared" si="12"/>
        <v>257148.52386363636</v>
      </c>
      <c r="S54" s="14">
        <f t="shared" si="12"/>
        <v>425168.75</v>
      </c>
      <c r="T54" s="15" t="s">
        <v>65</v>
      </c>
      <c r="U54" s="14">
        <f>X54*$U$13</f>
        <v>15778.636363636362</v>
      </c>
      <c r="V54" s="14">
        <f t="shared" si="3"/>
        <v>26100</v>
      </c>
      <c r="W54" s="21"/>
      <c r="X54" s="16">
        <f>Y54*0.95</f>
        <v>45.081818181818178</v>
      </c>
      <c r="Y54" s="16">
        <f>20880/440</f>
        <v>47.454545454545453</v>
      </c>
      <c r="AA54" s="2"/>
    </row>
    <row r="55" spans="4:27" x14ac:dyDescent="0.25">
      <c r="D55" s="9">
        <f t="shared" si="11"/>
        <v>9</v>
      </c>
      <c r="E55" t="s">
        <v>66</v>
      </c>
      <c r="F55" s="7">
        <f>IF($G$2="BXP",-SUMIF('Upgrade Costs'!$B$21:$B$70,$E55,'Upgrade Costs'!$G$21:$G$70)*(100%-$G$5),0)</f>
        <v>0</v>
      </c>
      <c r="G55" s="7">
        <f>IF($G$2="BXP",0,-SUMIF('Upgrade Costs'!$B$21:$B$70,$E55,'Upgrade Costs'!$P$21:$P$70)*(100%-$G$5))</f>
        <v>-124060</v>
      </c>
      <c r="H55" s="7">
        <f>IF($G$7="Yes",-'Upgrade Costs'!$W$41*2*(1-$G$5),0)</f>
        <v>0</v>
      </c>
      <c r="I55" s="7">
        <f>IF($G$7="Yes",-'Upgrade Costs'!$X$41*2*(1-$G$5),0)</f>
        <v>0</v>
      </c>
      <c r="J55" s="14">
        <f t="shared" si="0"/>
        <v>0</v>
      </c>
      <c r="K55" s="7">
        <f t="shared" ref="K55:K63" si="13">IF($G$2="BXP",0,IF(($G$4-$D55)&gt;0,($G$4-$D55)*$V$63+$S$62-SUMIF($Q$14:$Q$63,$D55,$S$14:$S$63)+IF($G$8="Yes",SUMIF($Q$14:$Q$63,$D55-$G$4,$V$14:$V$63),0),SUMIF($Q$14:$Q$63,$D55-$G$4+1,$S$14:$S$63)-SUMIF($Q$14:$Q$63,$D55,$S$14:$S$63))+IF($G$8="Yes",SUMIF($Q$14:$Q$63,MAX(0,$D55-$G$4),$V$14:$V$63),0))</f>
        <v>204225</v>
      </c>
      <c r="L55" s="13">
        <f t="shared" si="2"/>
        <v>0</v>
      </c>
      <c r="M55" s="13">
        <f t="shared" si="2"/>
        <v>80165</v>
      </c>
      <c r="Q55">
        <f t="shared" si="7"/>
        <v>8</v>
      </c>
      <c r="R55" s="14">
        <f t="shared" si="12"/>
        <v>273380.56931818184</v>
      </c>
      <c r="S55" s="14">
        <f t="shared" si="12"/>
        <v>452018.75</v>
      </c>
      <c r="T55" s="15" t="s">
        <v>66</v>
      </c>
      <c r="U55" s="14">
        <f t="shared" si="6"/>
        <v>16232.045454545454</v>
      </c>
      <c r="V55" s="14">
        <f t="shared" si="3"/>
        <v>26850</v>
      </c>
      <c r="W55" s="21"/>
      <c r="X55" s="16">
        <f t="shared" ref="X55:X63" si="14">Y55*0.95</f>
        <v>46.377272727272725</v>
      </c>
      <c r="Y55" s="16">
        <f>21480/440</f>
        <v>48.81818181818182</v>
      </c>
    </row>
    <row r="56" spans="4:27" x14ac:dyDescent="0.25">
      <c r="D56" s="9">
        <f t="shared" si="11"/>
        <v>8</v>
      </c>
      <c r="E56" t="s">
        <v>67</v>
      </c>
      <c r="F56" s="7">
        <f>IF($G$2="BXP",-SUMIF('Upgrade Costs'!$B$21:$B$70,$E56,'Upgrade Costs'!$G$21:$G$70)*(100%-$G$5),0)</f>
        <v>0</v>
      </c>
      <c r="G56" s="7">
        <f>IF($G$2="BXP",0,-SUMIF('Upgrade Costs'!$B$21:$B$70,$E56,'Upgrade Costs'!$P$21:$P$70)*(100%-$G$5))</f>
        <v>-140060</v>
      </c>
      <c r="H56" s="7">
        <f>IF($G$7="Yes",-'Upgrade Costs'!$W$41*2*(1-$G$5),0)</f>
        <v>0</v>
      </c>
      <c r="I56" s="7">
        <f>IF($G$7="Yes",-'Upgrade Costs'!$X$41*2*(1-$G$5),0)</f>
        <v>0</v>
      </c>
      <c r="J56" s="14">
        <f t="shared" si="0"/>
        <v>0</v>
      </c>
      <c r="K56" s="7">
        <f t="shared" si="13"/>
        <v>209625</v>
      </c>
      <c r="L56" s="13">
        <f t="shared" si="2"/>
        <v>0</v>
      </c>
      <c r="M56" s="13">
        <f t="shared" si="2"/>
        <v>69565</v>
      </c>
      <c r="Q56">
        <f t="shared" si="7"/>
        <v>7</v>
      </c>
      <c r="R56" s="14">
        <f t="shared" si="12"/>
        <v>290111.36477272731</v>
      </c>
      <c r="S56" s="14">
        <f t="shared" si="12"/>
        <v>479693.75</v>
      </c>
      <c r="T56" s="15" t="s">
        <v>67</v>
      </c>
      <c r="U56" s="14">
        <f t="shared" si="6"/>
        <v>16730.795454545456</v>
      </c>
      <c r="V56" s="14">
        <f t="shared" si="3"/>
        <v>27675</v>
      </c>
      <c r="W56" s="21"/>
      <c r="X56" s="16">
        <f t="shared" si="14"/>
        <v>47.802272727272729</v>
      </c>
      <c r="Y56" s="16">
        <f>22140/440</f>
        <v>50.31818181818182</v>
      </c>
    </row>
    <row r="57" spans="4:27" x14ac:dyDescent="0.25">
      <c r="D57" s="9">
        <f t="shared" si="11"/>
        <v>7</v>
      </c>
      <c r="E57" t="s">
        <v>68</v>
      </c>
      <c r="F57" s="7">
        <f>IF($G$2="BXP",-SUMIF('Upgrade Costs'!$B$21:$B$70,$E57,'Upgrade Costs'!$G$21:$G$70)*(100%-$G$5),0)</f>
        <v>0</v>
      </c>
      <c r="G57" s="7">
        <f>IF($G$2="BXP",0,-SUMIF('Upgrade Costs'!$B$21:$B$70,$E57,'Upgrade Costs'!$P$21:$P$70)*(100%-$G$5))</f>
        <v>-159060</v>
      </c>
      <c r="H57" s="7">
        <f>IF($G$7="Yes",-'Upgrade Costs'!$W$41*2*(1-$G$5),0)</f>
        <v>0</v>
      </c>
      <c r="I57" s="7">
        <f>IF($G$7="Yes",-'Upgrade Costs'!$X$41*2*(1-$G$5),0)</f>
        <v>0</v>
      </c>
      <c r="J57" s="14">
        <f t="shared" si="0"/>
        <v>0</v>
      </c>
      <c r="K57" s="7">
        <f t="shared" si="13"/>
        <v>214950</v>
      </c>
      <c r="L57" s="13">
        <f t="shared" si="2"/>
        <v>0</v>
      </c>
      <c r="M57" s="13">
        <f t="shared" si="2"/>
        <v>55890</v>
      </c>
      <c r="O57" s="7"/>
      <c r="Q57">
        <f t="shared" si="7"/>
        <v>6</v>
      </c>
      <c r="R57" s="14">
        <f t="shared" si="12"/>
        <v>307295.56931818184</v>
      </c>
      <c r="S57" s="14">
        <f t="shared" si="12"/>
        <v>508118.75</v>
      </c>
      <c r="T57" s="15" t="s">
        <v>68</v>
      </c>
      <c r="U57" s="14">
        <f t="shared" si="6"/>
        <v>17184.204545454544</v>
      </c>
      <c r="V57" s="14">
        <f t="shared" si="3"/>
        <v>28425</v>
      </c>
      <c r="W57" s="21"/>
      <c r="X57" s="16">
        <f t="shared" si="14"/>
        <v>49.097727272727269</v>
      </c>
      <c r="Y57" s="16">
        <f>22740/440</f>
        <v>51.68181818181818</v>
      </c>
    </row>
    <row r="58" spans="4:27" x14ac:dyDescent="0.25">
      <c r="D58" s="9">
        <f t="shared" si="11"/>
        <v>6</v>
      </c>
      <c r="E58" t="s">
        <v>69</v>
      </c>
      <c r="F58" s="7">
        <f>IF($G$2="BXP",-SUMIF('Upgrade Costs'!$B$21:$B$70,$E58,'Upgrade Costs'!$G$21:$G$70)*(100%-$G$5),0)</f>
        <v>0</v>
      </c>
      <c r="G58" s="7">
        <f>IF($G$2="BXP",0,-SUMIF('Upgrade Costs'!$B$21:$B$70,$E58,'Upgrade Costs'!$P$21:$P$70)*(100%-$G$5))</f>
        <v>-182060</v>
      </c>
      <c r="H58" s="7">
        <f>IF($G$7="Yes",-'Upgrade Costs'!$W$41*2*(1-$G$5),0)</f>
        <v>0</v>
      </c>
      <c r="I58" s="7">
        <f>IF($G$7="Yes",-'Upgrade Costs'!$X$41*2*(1-$G$5),0)</f>
        <v>0</v>
      </c>
      <c r="J58" s="14">
        <f t="shared" si="0"/>
        <v>0</v>
      </c>
      <c r="K58" s="7">
        <f t="shared" si="13"/>
        <v>219525</v>
      </c>
      <c r="L58" s="13">
        <f t="shared" si="2"/>
        <v>0</v>
      </c>
      <c r="M58" s="13">
        <f t="shared" si="2"/>
        <v>37465</v>
      </c>
      <c r="Q58">
        <f t="shared" si="7"/>
        <v>5</v>
      </c>
      <c r="R58" s="14">
        <f t="shared" ref="R58:S63" si="15">R57+U58</f>
        <v>324933.18295454548</v>
      </c>
      <c r="S58" s="14">
        <f t="shared" si="15"/>
        <v>537293.75</v>
      </c>
      <c r="T58" s="15" t="s">
        <v>69</v>
      </c>
      <c r="U58" s="14">
        <f t="shared" si="6"/>
        <v>17637.613636363636</v>
      </c>
      <c r="V58" s="14">
        <f t="shared" si="3"/>
        <v>29175</v>
      </c>
      <c r="X58" s="2">
        <f t="shared" si="14"/>
        <v>50.393181818181816</v>
      </c>
      <c r="Y58" s="16">
        <f>23340/440</f>
        <v>53.045454545454547</v>
      </c>
    </row>
    <row r="59" spans="4:27" x14ac:dyDescent="0.25">
      <c r="D59" s="9">
        <f t="shared" si="11"/>
        <v>5</v>
      </c>
      <c r="E59" t="s">
        <v>70</v>
      </c>
      <c r="F59" s="7">
        <f>IF($G$2="BXP",-SUMIF('Upgrade Costs'!$B$21:$B$70,$E59,'Upgrade Costs'!$G$21:$G$70)*(100%-$G$5),0)</f>
        <v>0</v>
      </c>
      <c r="G59" s="7">
        <f>IF($G$2="BXP",0,-SUMIF('Upgrade Costs'!$B$21:$B$70,$E59,'Upgrade Costs'!$P$21:$P$70)*(100%-$G$5))</f>
        <v>-209060</v>
      </c>
      <c r="H59" s="7">
        <f>IF($G$7="Yes",-'Upgrade Costs'!$W$41*2*(1-$G$5),0)</f>
        <v>0</v>
      </c>
      <c r="I59" s="7">
        <f>IF($G$7="Yes",-'Upgrade Costs'!$X$41*2*(1-$G$5),0)</f>
        <v>0</v>
      </c>
      <c r="J59" s="14">
        <f t="shared" si="0"/>
        <v>0</v>
      </c>
      <c r="K59" s="7">
        <f t="shared" si="13"/>
        <v>223350</v>
      </c>
      <c r="L59" s="13">
        <f t="shared" si="2"/>
        <v>0</v>
      </c>
      <c r="M59" s="13">
        <f t="shared" si="2"/>
        <v>14290</v>
      </c>
      <c r="Q59">
        <f t="shared" si="7"/>
        <v>4</v>
      </c>
      <c r="R59" s="14">
        <f t="shared" si="15"/>
        <v>343024.20568181819</v>
      </c>
      <c r="S59" s="14">
        <f t="shared" si="15"/>
        <v>567218.75</v>
      </c>
      <c r="T59" s="15" t="s">
        <v>70</v>
      </c>
      <c r="U59" s="14">
        <f t="shared" si="6"/>
        <v>18091.022727272724</v>
      </c>
      <c r="V59" s="14">
        <f t="shared" si="3"/>
        <v>29925</v>
      </c>
      <c r="X59" s="2">
        <f t="shared" si="14"/>
        <v>51.688636363636355</v>
      </c>
      <c r="Y59" s="16">
        <f>23940/440</f>
        <v>54.409090909090907</v>
      </c>
    </row>
    <row r="60" spans="4:27" x14ac:dyDescent="0.25">
      <c r="D60" s="9">
        <f t="shared" si="11"/>
        <v>4</v>
      </c>
      <c r="E60" t="s">
        <v>71</v>
      </c>
      <c r="F60" s="7">
        <f>IF($G$2="BXP",-SUMIF('Upgrade Costs'!$B$21:$B$70,$E60,'Upgrade Costs'!$G$21:$G$70)*(100%-$G$5),0)</f>
        <v>0</v>
      </c>
      <c r="G60" s="7">
        <f>IF($G$2="BXP",0,-SUMIF('Upgrade Costs'!$B$21:$B$70,$E60,'Upgrade Costs'!$P$21:$P$70)*(100%-$G$5))</f>
        <v>-241060</v>
      </c>
      <c r="H60" s="7">
        <f>IF($G$7="Yes",-'Upgrade Costs'!$W$41*2*(1-$G$5),0)</f>
        <v>0</v>
      </c>
      <c r="I60" s="7">
        <f>IF($G$7="Yes",-'Upgrade Costs'!$X$41*2*(1-$G$5),0)</f>
        <v>0</v>
      </c>
      <c r="J60" s="14">
        <f t="shared" si="0"/>
        <v>0</v>
      </c>
      <c r="K60" s="7">
        <f t="shared" si="13"/>
        <v>226425</v>
      </c>
      <c r="L60" s="13">
        <f t="shared" si="2"/>
        <v>0</v>
      </c>
      <c r="M60" s="13">
        <f t="shared" si="2"/>
        <v>-14635</v>
      </c>
      <c r="Q60">
        <f t="shared" si="7"/>
        <v>3</v>
      </c>
      <c r="R60" s="14">
        <f t="shared" si="15"/>
        <v>361568.63750000001</v>
      </c>
      <c r="S60" s="14">
        <f t="shared" si="15"/>
        <v>597893.75</v>
      </c>
      <c r="T60" s="15" t="s">
        <v>71</v>
      </c>
      <c r="U60" s="14">
        <f t="shared" si="6"/>
        <v>18544.43181818182</v>
      </c>
      <c r="V60" s="14">
        <f t="shared" si="3"/>
        <v>30675</v>
      </c>
      <c r="X60" s="2">
        <f t="shared" si="14"/>
        <v>52.984090909090909</v>
      </c>
      <c r="Y60" s="16">
        <f>24540/440</f>
        <v>55.772727272727273</v>
      </c>
    </row>
    <row r="61" spans="4:27" x14ac:dyDescent="0.25">
      <c r="D61" s="9">
        <f t="shared" si="11"/>
        <v>3</v>
      </c>
      <c r="E61" t="s">
        <v>72</v>
      </c>
      <c r="F61" s="7">
        <f>IF($G$2="BXP",-SUMIF('Upgrade Costs'!$B$21:$B$70,$E61,'Upgrade Costs'!$G$21:$G$70)*(100%-$G$5),0)</f>
        <v>0</v>
      </c>
      <c r="G61" s="7">
        <f>IF($G$2="BXP",0,-SUMIF('Upgrade Costs'!$B$21:$B$70,$E61,'Upgrade Costs'!$P$21:$P$70)*(100%-$G$5))</f>
        <v>-278060</v>
      </c>
      <c r="H61" s="7">
        <f>IF($G$7="Yes",-'Upgrade Costs'!$W$41*2*(1-$G$5),0)</f>
        <v>0</v>
      </c>
      <c r="I61" s="7">
        <f>IF($G$7="Yes",-'Upgrade Costs'!$X$41*2*(1-$G$5),0)</f>
        <v>0</v>
      </c>
      <c r="J61" s="14">
        <f t="shared" si="0"/>
        <v>0</v>
      </c>
      <c r="K61" s="7">
        <f t="shared" si="13"/>
        <v>228750</v>
      </c>
      <c r="L61" s="13">
        <f t="shared" si="2"/>
        <v>0</v>
      </c>
      <c r="M61" s="13">
        <f t="shared" si="2"/>
        <v>-49310</v>
      </c>
      <c r="Q61">
        <f t="shared" si="7"/>
        <v>2</v>
      </c>
      <c r="R61" s="14">
        <f t="shared" si="15"/>
        <v>380611.81931818184</v>
      </c>
      <c r="S61" s="14">
        <f t="shared" si="15"/>
        <v>629393.75</v>
      </c>
      <c r="T61" s="15" t="s">
        <v>72</v>
      </c>
      <c r="U61" s="14">
        <f t="shared" si="6"/>
        <v>19043.181818181816</v>
      </c>
      <c r="V61" s="14">
        <f t="shared" si="3"/>
        <v>31500</v>
      </c>
      <c r="X61" s="2">
        <f t="shared" si="14"/>
        <v>54.409090909090907</v>
      </c>
      <c r="Y61" s="16">
        <f>25200/440</f>
        <v>57.272727272727273</v>
      </c>
    </row>
    <row r="62" spans="4:27" x14ac:dyDescent="0.25">
      <c r="D62" s="9">
        <f t="shared" si="11"/>
        <v>2</v>
      </c>
      <c r="E62" t="s">
        <v>73</v>
      </c>
      <c r="F62" s="7">
        <f>IF($G$2="BXP",-SUMIF('Upgrade Costs'!$B$21:$B$70,$E62,'Upgrade Costs'!$G$21:$G$70)*(100%-$G$5),0)</f>
        <v>0</v>
      </c>
      <c r="G62" s="7">
        <f>IF($G$2="BXP",0,-SUMIF('Upgrade Costs'!$B$21:$B$70,$E62,'Upgrade Costs'!$P$21:$P$70)*(100%-$G$5))</f>
        <v>-322060</v>
      </c>
      <c r="H62" s="7">
        <f>IF($G$7="Yes",-'Upgrade Costs'!$W$41*2*(1-$G$5),0)</f>
        <v>0</v>
      </c>
      <c r="I62" s="7">
        <f>IF($G$7="Yes",-'Upgrade Costs'!$X$41*2*(1-$G$5),0)</f>
        <v>0</v>
      </c>
      <c r="J62" s="14">
        <f t="shared" si="0"/>
        <v>0</v>
      </c>
      <c r="K62" s="7">
        <f t="shared" si="13"/>
        <v>230250</v>
      </c>
      <c r="L62" s="13">
        <f t="shared" si="2"/>
        <v>0</v>
      </c>
      <c r="M62" s="13">
        <f t="shared" si="2"/>
        <v>-91810</v>
      </c>
      <c r="Q62">
        <f t="shared" si="7"/>
        <v>1</v>
      </c>
      <c r="R62" s="14">
        <f t="shared" si="15"/>
        <v>400108.41022727272</v>
      </c>
      <c r="S62" s="14">
        <f t="shared" si="15"/>
        <v>661643.75</v>
      </c>
      <c r="T62" s="15" t="s">
        <v>73</v>
      </c>
      <c r="U62" s="14">
        <f t="shared" si="6"/>
        <v>19496.590909090904</v>
      </c>
      <c r="V62" s="14">
        <f t="shared" si="3"/>
        <v>32250</v>
      </c>
      <c r="X62" s="2">
        <f t="shared" si="14"/>
        <v>55.704545454545446</v>
      </c>
      <c r="Y62" s="16">
        <f>25800/440</f>
        <v>58.636363636363633</v>
      </c>
    </row>
    <row r="63" spans="4:27" x14ac:dyDescent="0.25">
      <c r="D63" s="9">
        <f t="shared" si="11"/>
        <v>1</v>
      </c>
      <c r="E63" t="s">
        <v>74</v>
      </c>
      <c r="F63" s="7">
        <f>IF($G$2="BXP",-SUMIF('Upgrade Costs'!$B$21:$B$70,$E63,'Upgrade Costs'!$G$21:$G$70)*(100%-$G$5),0)</f>
        <v>0</v>
      </c>
      <c r="G63" s="7">
        <f>IF($G$2="BXP",0,-SUMIF('Upgrade Costs'!$B$21:$B$70,$E63,'Upgrade Costs'!$P$21:$P$70)*(100%-$G$5))</f>
        <v>-376060</v>
      </c>
      <c r="H63" s="7">
        <f>IF($G$7="Yes",-'Upgrade Costs'!$W$41*2*(1-$G$5),0)</f>
        <v>0</v>
      </c>
      <c r="I63" s="7">
        <f>IF($G$7="Yes",-'Upgrade Costs'!$X$41*2*(1-$G$5),0)</f>
        <v>0</v>
      </c>
      <c r="J63" s="14">
        <f t="shared" si="0"/>
        <v>0</v>
      </c>
      <c r="K63" s="7">
        <f t="shared" si="13"/>
        <v>231000</v>
      </c>
      <c r="L63" s="13">
        <f t="shared" si="2"/>
        <v>0</v>
      </c>
      <c r="M63" s="13">
        <f t="shared" si="2"/>
        <v>-145060</v>
      </c>
      <c r="Q63">
        <v>0</v>
      </c>
      <c r="R63" s="14">
        <f t="shared" si="15"/>
        <v>420058.41022727272</v>
      </c>
      <c r="S63" s="14">
        <f t="shared" si="15"/>
        <v>694643.75</v>
      </c>
      <c r="T63" s="15" t="s">
        <v>74</v>
      </c>
      <c r="U63" s="14">
        <f t="shared" si="6"/>
        <v>19950</v>
      </c>
      <c r="V63" s="14">
        <f t="shared" si="3"/>
        <v>33000</v>
      </c>
      <c r="X63" s="2">
        <f t="shared" si="14"/>
        <v>57</v>
      </c>
      <c r="Y63" s="16">
        <f>33000/550</f>
        <v>60</v>
      </c>
      <c r="Z63" s="2"/>
      <c r="AA63" s="2"/>
    </row>
    <row r="64" spans="4:27" x14ac:dyDescent="0.25">
      <c r="J64" s="21"/>
      <c r="Y64" s="16"/>
    </row>
    <row r="65" spans="6:25" x14ac:dyDescent="0.25">
      <c r="J65" s="21"/>
      <c r="U65" s="7"/>
      <c r="Y65" s="16"/>
    </row>
    <row r="66" spans="6:25" x14ac:dyDescent="0.25">
      <c r="Y66" s="16"/>
    </row>
    <row r="67" spans="6:25" x14ac:dyDescent="0.25">
      <c r="U67" s="7"/>
      <c r="Y67" s="16"/>
    </row>
    <row r="68" spans="6:25" x14ac:dyDescent="0.25">
      <c r="F68" s="7"/>
      <c r="G68" s="7"/>
      <c r="H68" s="7"/>
      <c r="I68" s="7"/>
      <c r="Y68" s="16"/>
    </row>
    <row r="69" spans="6:25" x14ac:dyDescent="0.25">
      <c r="F69" s="7"/>
      <c r="G69" s="7"/>
      <c r="H69" s="7"/>
      <c r="I69" s="7"/>
    </row>
    <row r="70" spans="6:25" x14ac:dyDescent="0.25">
      <c r="F70" s="7"/>
      <c r="G70" s="7"/>
      <c r="H70" s="7"/>
      <c r="I70" s="7"/>
    </row>
    <row r="71" spans="6:25" x14ac:dyDescent="0.25">
      <c r="F71" s="7"/>
      <c r="G71" s="7"/>
      <c r="H71" s="7"/>
      <c r="I71" s="7"/>
    </row>
    <row r="72" spans="6:25" x14ac:dyDescent="0.25">
      <c r="F72" s="7"/>
      <c r="G72" s="7"/>
      <c r="H72" s="7"/>
      <c r="I72" s="7"/>
    </row>
    <row r="73" spans="6:25" x14ac:dyDescent="0.25">
      <c r="F73" s="7"/>
      <c r="G73" s="7"/>
      <c r="H73" s="7"/>
      <c r="I73" s="7"/>
    </row>
    <row r="74" spans="6:25" x14ac:dyDescent="0.25">
      <c r="F74" s="7"/>
      <c r="G74" s="7"/>
      <c r="H74" s="7"/>
      <c r="I74" s="7"/>
    </row>
    <row r="75" spans="6:25" x14ac:dyDescent="0.25">
      <c r="F75" s="7"/>
      <c r="G75" s="7"/>
      <c r="H75" s="7"/>
      <c r="I75" s="7"/>
    </row>
    <row r="76" spans="6:25" x14ac:dyDescent="0.25">
      <c r="F76" s="7"/>
      <c r="G76" s="7"/>
      <c r="H76" s="7"/>
      <c r="I76" s="7"/>
    </row>
  </sheetData>
  <mergeCells count="5">
    <mergeCell ref="U11:V11"/>
    <mergeCell ref="F12:G12"/>
    <mergeCell ref="H12:I12"/>
    <mergeCell ref="J12:K12"/>
    <mergeCell ref="L12:M12"/>
  </mergeCells>
  <dataValidations count="4">
    <dataValidation type="list" allowBlank="1" showInputMessage="1" showErrorMessage="1" sqref="G5">
      <formula1>"0%,10%,20%,30%,40%,50%,60%,70%"</formula1>
    </dataValidation>
    <dataValidation type="list" allowBlank="1" showInputMessage="1" showErrorMessage="1" sqref="K5:K8">
      <formula1>"0%,10%,20%,30%,40%,50%,60%"</formula1>
    </dataValidation>
    <dataValidation type="list" allowBlank="1" showInputMessage="1" showErrorMessage="1" sqref="J11:K11 K10 G2">
      <formula1>"BXP,PXP,LXP"</formula1>
    </dataValidation>
    <dataValidation type="list" allowBlank="1" showInputMessage="1" showErrorMessage="1" sqref="K9 G6:G8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zoomScale="70" zoomScaleNormal="70" workbookViewId="0">
      <selection activeCell="P10" sqref="P10"/>
    </sheetView>
  </sheetViews>
  <sheetFormatPr defaultRowHeight="15" outlineLevelRow="1" x14ac:dyDescent="0.25"/>
  <cols>
    <col min="1" max="1" width="10.28515625" bestFit="1" customWidth="1"/>
    <col min="2" max="2" width="20.5703125" customWidth="1"/>
    <col min="3" max="4" width="15.5703125" bestFit="1" customWidth="1"/>
    <col min="5" max="6" width="14.5703125" customWidth="1"/>
    <col min="7" max="7" width="10.5703125" customWidth="1"/>
    <col min="8" max="8" width="11.5703125" bestFit="1" customWidth="1"/>
    <col min="9" max="10" width="10.5703125" customWidth="1"/>
    <col min="11" max="11" width="16" customWidth="1"/>
    <col min="12" max="12" width="10.5703125" customWidth="1"/>
    <col min="13" max="13" width="11.5703125" bestFit="1" customWidth="1"/>
    <col min="14" max="15" width="10.5703125" customWidth="1"/>
    <col min="16" max="16" width="19.5703125" bestFit="1" customWidth="1"/>
    <col min="17" max="17" width="12" bestFit="1" customWidth="1"/>
    <col min="18" max="18" width="14" bestFit="1" customWidth="1"/>
    <col min="19" max="19" width="12" bestFit="1" customWidth="1"/>
    <col min="20" max="20" width="11.140625" bestFit="1" customWidth="1"/>
    <col min="22" max="22" width="12" bestFit="1" customWidth="1"/>
    <col min="23" max="24" width="10.5703125" bestFit="1" customWidth="1"/>
    <col min="25" max="25" width="10.7109375" customWidth="1"/>
    <col min="26" max="28" width="10.7109375" bestFit="1" customWidth="1"/>
    <col min="29" max="29" width="12" bestFit="1" customWidth="1"/>
    <col min="30" max="30" width="12" customWidth="1"/>
    <col min="31" max="31" width="10.28515625" bestFit="1" customWidth="1"/>
    <col min="32" max="32" width="10.7109375" bestFit="1" customWidth="1"/>
    <col min="33" max="33" width="11.140625" bestFit="1" customWidth="1"/>
    <col min="34" max="34" width="10" bestFit="1" customWidth="1"/>
    <col min="38" max="38" width="12" bestFit="1" customWidth="1"/>
    <col min="47" max="47" width="11.5703125" customWidth="1"/>
    <col min="48" max="48" width="10.5703125" bestFit="1" customWidth="1"/>
    <col min="49" max="49" width="10.7109375" bestFit="1" customWidth="1"/>
    <col min="50" max="50" width="11.140625" customWidth="1"/>
  </cols>
  <sheetData>
    <row r="1" spans="2:15" s="22" customFormat="1" ht="21" x14ac:dyDescent="0.35">
      <c r="O1" s="23"/>
    </row>
    <row r="2" spans="2:15" s="22" customFormat="1" ht="21" x14ac:dyDescent="0.35">
      <c r="B2" s="24" t="s">
        <v>75</v>
      </c>
      <c r="C2" s="25"/>
      <c r="O2" s="23"/>
    </row>
    <row r="3" spans="2:15" s="22" customFormat="1" ht="21" x14ac:dyDescent="0.35">
      <c r="B3" s="25" t="s">
        <v>0</v>
      </c>
      <c r="C3" s="26" t="s">
        <v>1</v>
      </c>
      <c r="O3" s="23"/>
    </row>
    <row r="4" spans="2:15" s="22" customFormat="1" ht="21" x14ac:dyDescent="0.35">
      <c r="B4" s="25" t="s">
        <v>76</v>
      </c>
      <c r="C4" s="26" t="s">
        <v>61</v>
      </c>
      <c r="O4" s="23"/>
    </row>
    <row r="5" spans="2:15" s="22" customFormat="1" ht="21" x14ac:dyDescent="0.35">
      <c r="B5" s="25" t="s">
        <v>77</v>
      </c>
      <c r="C5" s="26" t="s">
        <v>62</v>
      </c>
      <c r="O5" s="23"/>
    </row>
    <row r="6" spans="2:15" s="22" customFormat="1" ht="21" x14ac:dyDescent="0.35">
      <c r="B6" s="25" t="s">
        <v>4</v>
      </c>
      <c r="C6" s="27">
        <v>0.4</v>
      </c>
      <c r="O6" s="23"/>
    </row>
    <row r="7" spans="2:15" s="22" customFormat="1" ht="21" x14ac:dyDescent="0.35">
      <c r="O7" s="23"/>
    </row>
    <row r="8" spans="2:15" s="22" customFormat="1" ht="21" x14ac:dyDescent="0.35">
      <c r="B8" s="28" t="s">
        <v>78</v>
      </c>
      <c r="C8" s="29"/>
      <c r="D8" s="29"/>
      <c r="E8" s="29"/>
      <c r="F8" s="29"/>
      <c r="O8" s="23"/>
    </row>
    <row r="9" spans="2:15" s="22" customFormat="1" ht="21" x14ac:dyDescent="0.35">
      <c r="B9" s="28"/>
      <c r="C9" s="29"/>
      <c r="D9" s="29"/>
      <c r="E9" s="29"/>
      <c r="F9" s="29"/>
      <c r="O9" s="23"/>
    </row>
    <row r="10" spans="2:15" s="22" customFormat="1" ht="21" x14ac:dyDescent="0.35">
      <c r="B10" s="30" t="s">
        <v>0</v>
      </c>
      <c r="C10" s="30" t="s">
        <v>79</v>
      </c>
      <c r="D10" s="30" t="s">
        <v>80</v>
      </c>
      <c r="E10" s="30" t="s">
        <v>81</v>
      </c>
      <c r="F10" s="30" t="s">
        <v>82</v>
      </c>
      <c r="O10" s="23"/>
    </row>
    <row r="11" spans="2:15" s="22" customFormat="1" ht="21" x14ac:dyDescent="0.35">
      <c r="B11" s="31" t="s">
        <v>16</v>
      </c>
      <c r="C11" s="32">
        <f>IF($C$3=$B11,SUMIF($B$21:$B$70,$C$5,G$21:G$70)-SUMIF($B$21:$B$70,$C$4,G$21:G$70),0)*(1-$C$6)</f>
        <v>0</v>
      </c>
      <c r="D11" s="32">
        <f>IF($C$3=$B11,SUMIF($B$21:$B$70,$C$5,H$21:H$70)-SUMIF($B$21:$B$70,$C$4,H$21:H$70),0)*(1-$C$6)</f>
        <v>0</v>
      </c>
      <c r="E11" s="32">
        <f>IF($C$3=$B11,SUMIF($B$21:$B$70,$C$5,I$21:I$70)-SUMIF($B$21:$B$70,$C$4,I$21:I$70),0)*(1-$C$6)</f>
        <v>0</v>
      </c>
      <c r="F11" s="32">
        <f>IF($C$3=$B11,SUMIF($B$21:$B$70,$C$5,J$21:J$70)-SUMIF($B$21:$B$70,$C$4,J$21:J$70),0)*(1-$C$6)</f>
        <v>0</v>
      </c>
      <c r="O11" s="23"/>
    </row>
    <row r="12" spans="2:15" s="22" customFormat="1" ht="21" x14ac:dyDescent="0.35">
      <c r="B12" s="31" t="s">
        <v>1</v>
      </c>
      <c r="C12" s="32">
        <f t="shared" ref="C12:F13" si="0">IF($C$3=$B12,SUMIF($B$21:$B$70,$C$5,P$21:P$70)-SUMIF($B$21:$B$70,$C$4,P$21:P$70),0)*(1-$C$6)</f>
        <v>12000</v>
      </c>
      <c r="D12" s="32">
        <f t="shared" si="0"/>
        <v>24000</v>
      </c>
      <c r="E12" s="32">
        <f t="shared" si="0"/>
        <v>0</v>
      </c>
      <c r="F12" s="32">
        <f t="shared" si="0"/>
        <v>0</v>
      </c>
      <c r="O12" s="23"/>
    </row>
    <row r="13" spans="2:15" s="22" customFormat="1" ht="21" x14ac:dyDescent="0.35">
      <c r="B13" s="31" t="s">
        <v>83</v>
      </c>
      <c r="C13" s="32">
        <f t="shared" si="0"/>
        <v>0</v>
      </c>
      <c r="D13" s="32">
        <f t="shared" si="0"/>
        <v>0</v>
      </c>
      <c r="E13" s="32">
        <f t="shared" si="0"/>
        <v>0</v>
      </c>
      <c r="F13" s="32">
        <f t="shared" si="0"/>
        <v>0</v>
      </c>
      <c r="O13" s="23"/>
    </row>
    <row r="14" spans="2:15" s="22" customFormat="1" ht="21" x14ac:dyDescent="0.35">
      <c r="B14" s="31" t="s">
        <v>84</v>
      </c>
      <c r="C14" s="32">
        <f>IF($C$3=$B14,3*(SUMIF($B$21:$B$70,$C$5,P$21:P$70)-SUMIF($B$21:$B$70,$C$4,P$21:P$70)),0)*(1-$C$6)</f>
        <v>0</v>
      </c>
      <c r="D14" s="32">
        <f>IF($C$3=$B14,3*SUMIF($B$21:$B$70,$C$5,Q$21:Q$70)-3*SUMIF($B$21:$B$70,$C$4,Q$21:Q$70),0)*(1-$C$6)</f>
        <v>0</v>
      </c>
      <c r="E14" s="32">
        <f>IF($C$3=$B14,3*(SUMIF($B$21:$B$70,$C$5,R$21:R$70)-SUMIF($B$21:$B$70,$C$4,R$21:R$70)),0)*(1-$C$6)</f>
        <v>0</v>
      </c>
      <c r="F14" s="32">
        <f>IF($C$3=$B14,3*(SUMIF($B$21:$B$70,$C$5,S$21:S$70)-SUMIF($B$21:$B$70,$C$4,S$21:S$70)),0)*(1-$C$6)</f>
        <v>0</v>
      </c>
      <c r="O14" s="23"/>
    </row>
    <row r="15" spans="2:15" s="22" customFormat="1" ht="21" x14ac:dyDescent="0.35">
      <c r="B15" s="31" t="s">
        <v>85</v>
      </c>
      <c r="C15" s="32">
        <f>IF($C$3=$B15,3*(SUMIF($B$21:$B$70,$C$5,G$21:G$70)-SUMIF($B$21:$B$70,$C$4,G$21:G$70)),0)*(1-$C$6)</f>
        <v>0</v>
      </c>
      <c r="D15" s="32">
        <f>IF($C$3=$B15,SUMIF($B$21:$B$70,$C$5,H$21:H$70)-SUMIF($B$21:$B$70,$C$4,H$21:H$70),0)*(1-$C$6)</f>
        <v>0</v>
      </c>
      <c r="E15" s="32">
        <f>IF($C$3=$B15,3*(SUMIF($B$21:$B$70,$C$5,I$21:I$70)-SUMIF($B$21:$B$70,$C$4,I$21:I$70)),0)*(1-$C$6)</f>
        <v>0</v>
      </c>
      <c r="F15" s="32">
        <f>IF($C$3=$B15,3*(SUMIF($B$21:$B$70,$C$5,J$21:J$70)-SUMIF($B$21:$B$70,$C$4,J$21:J$70)),0)*(1-$C$6)</f>
        <v>0</v>
      </c>
      <c r="O15" s="23"/>
    </row>
    <row r="16" spans="2:15" s="22" customFormat="1" ht="21" x14ac:dyDescent="0.35">
      <c r="B16" s="31" t="s">
        <v>86</v>
      </c>
      <c r="C16" s="32">
        <f>IF($C$3=$B16,5*(SUMIF($B$21:$B$70,$C$5,G$21:G$70)-SUMIF($B$21:$B$70,$C$4,G$21:G$70)),0)*(1-$C$6)</f>
        <v>0</v>
      </c>
      <c r="D16" s="32">
        <f>IF($C$3=$B16,5*SUMIF($B$21:$B$70,$C$5,H$21:H$70)-5*SUMIF($B$21:$B$70,$C$4,H$21:H$70),0)*(1-$C$6)</f>
        <v>0</v>
      </c>
      <c r="E16" s="32">
        <f>IF($C$3=$B16,5*(SUMIF($B$21:$B$70,$C$5,I$21:I$70)-SUMIF($B$21:$B$70,$C$4,I$21:I$70)),0)*(1-$C$6)</f>
        <v>0</v>
      </c>
      <c r="F16" s="32">
        <f>IF($C$3=$B16,5*(SUMIF($B$21:$B$70,$C$5,J$21:J$70)-SUMIF($B$21:$B$70,$C$4,J$21:J$70)),0)*(1-$C$6)</f>
        <v>0</v>
      </c>
      <c r="O16" s="23"/>
    </row>
    <row r="17" spans="2:27" s="21" customFormat="1" x14ac:dyDescent="0.25">
      <c r="B17" s="33"/>
      <c r="C17" s="14"/>
      <c r="D17" s="14"/>
      <c r="E17" s="14"/>
      <c r="F17" s="14"/>
      <c r="G17"/>
      <c r="H17"/>
      <c r="I17"/>
      <c r="J17"/>
      <c r="K17"/>
      <c r="L17"/>
      <c r="M17"/>
      <c r="N17"/>
      <c r="O17"/>
    </row>
    <row r="18" spans="2:27" ht="23.25" x14ac:dyDescent="0.35">
      <c r="C18" s="44" t="s">
        <v>16</v>
      </c>
      <c r="D18" s="45"/>
      <c r="E18" s="45"/>
      <c r="F18" s="45"/>
      <c r="G18" s="45"/>
      <c r="H18" s="45"/>
      <c r="I18" s="45"/>
      <c r="J18" s="46"/>
      <c r="L18" s="47" t="s">
        <v>87</v>
      </c>
      <c r="M18" s="47"/>
      <c r="N18" s="47"/>
      <c r="O18" s="47"/>
      <c r="P18" s="47"/>
      <c r="Q18" s="47"/>
      <c r="R18" s="47"/>
      <c r="S18" s="47"/>
      <c r="T18" s="34"/>
      <c r="U18" s="44" t="s">
        <v>88</v>
      </c>
      <c r="V18" s="45"/>
      <c r="W18" s="45"/>
      <c r="X18" s="45"/>
      <c r="Y18" s="45"/>
      <c r="Z18" s="45"/>
      <c r="AA18" s="46"/>
    </row>
    <row r="19" spans="2:27" x14ac:dyDescent="0.25">
      <c r="C19" s="48" t="s">
        <v>89</v>
      </c>
      <c r="D19" s="49"/>
      <c r="E19" s="49"/>
      <c r="F19" s="50"/>
      <c r="G19" s="48" t="s">
        <v>90</v>
      </c>
      <c r="H19" s="49"/>
      <c r="I19" s="49"/>
      <c r="J19" s="50"/>
      <c r="L19" s="51" t="s">
        <v>89</v>
      </c>
      <c r="M19" s="52"/>
      <c r="N19" s="52"/>
      <c r="O19" s="53"/>
      <c r="P19" s="51" t="s">
        <v>90</v>
      </c>
      <c r="Q19" s="52"/>
      <c r="R19" s="52"/>
      <c r="S19" s="53"/>
      <c r="U19" s="54" t="s">
        <v>89</v>
      </c>
      <c r="V19" s="54"/>
      <c r="W19" s="54"/>
      <c r="X19" s="54"/>
      <c r="Y19" s="54"/>
      <c r="Z19" s="54"/>
      <c r="AA19" s="54"/>
    </row>
    <row r="20" spans="2:27" x14ac:dyDescent="0.25">
      <c r="B20" s="35" t="s">
        <v>91</v>
      </c>
      <c r="C20" s="35" t="s">
        <v>16</v>
      </c>
      <c r="D20" s="35" t="s">
        <v>80</v>
      </c>
      <c r="E20" s="35" t="s">
        <v>81</v>
      </c>
      <c r="F20" s="35" t="s">
        <v>82</v>
      </c>
      <c r="G20" s="35" t="s">
        <v>16</v>
      </c>
      <c r="H20" s="35" t="s">
        <v>80</v>
      </c>
      <c r="I20" s="35" t="s">
        <v>81</v>
      </c>
      <c r="J20" s="35" t="s">
        <v>82</v>
      </c>
      <c r="K20" s="36"/>
      <c r="L20" s="35" t="s">
        <v>87</v>
      </c>
      <c r="M20" s="35" t="s">
        <v>80</v>
      </c>
      <c r="N20" s="35" t="s">
        <v>81</v>
      </c>
      <c r="O20" s="35" t="s">
        <v>82</v>
      </c>
      <c r="P20" s="35" t="s">
        <v>87</v>
      </c>
      <c r="Q20" s="35" t="s">
        <v>80</v>
      </c>
      <c r="R20" s="35" t="s">
        <v>81</v>
      </c>
      <c r="S20" s="35" t="s">
        <v>82</v>
      </c>
      <c r="U20" s="35" t="s">
        <v>91</v>
      </c>
      <c r="V20" s="35" t="s">
        <v>80</v>
      </c>
      <c r="W20" s="37" t="s">
        <v>16</v>
      </c>
      <c r="X20" s="37" t="s">
        <v>1</v>
      </c>
      <c r="Y20" s="37" t="s">
        <v>83</v>
      </c>
      <c r="Z20" s="37" t="s">
        <v>81</v>
      </c>
      <c r="AA20" s="37" t="s">
        <v>82</v>
      </c>
    </row>
    <row r="21" spans="2:27" x14ac:dyDescent="0.25">
      <c r="B21" s="9" t="s">
        <v>25</v>
      </c>
      <c r="C21" s="7"/>
      <c r="D21" s="7"/>
      <c r="E21" s="7"/>
      <c r="F21" s="7"/>
      <c r="G21" s="7"/>
      <c r="H21" s="7"/>
      <c r="I21" s="7"/>
      <c r="J21" s="7"/>
      <c r="L21" s="7"/>
      <c r="M21" s="7"/>
      <c r="N21" s="7"/>
      <c r="O21" s="7"/>
      <c r="P21" s="7"/>
      <c r="U21" s="9">
        <v>1</v>
      </c>
      <c r="V21" s="38">
        <v>10000</v>
      </c>
      <c r="W21" s="7"/>
      <c r="X21" s="7"/>
      <c r="Y21" s="7"/>
      <c r="Z21" s="7"/>
      <c r="AA21" s="7"/>
    </row>
    <row r="22" spans="2:27" outlineLevel="1" x14ac:dyDescent="0.25">
      <c r="B22" s="9" t="s">
        <v>26</v>
      </c>
      <c r="C22" s="7">
        <v>20</v>
      </c>
      <c r="D22" s="7">
        <v>60</v>
      </c>
      <c r="E22" s="7"/>
      <c r="F22" s="7"/>
      <c r="G22" s="7">
        <f>SUM(C$21:C22)</f>
        <v>20</v>
      </c>
      <c r="H22" s="7">
        <f>SUM(D$21:D22)</f>
        <v>60</v>
      </c>
      <c r="I22" s="7">
        <f>SUM(E$21:E22)</f>
        <v>0</v>
      </c>
      <c r="J22" s="7">
        <f>SUM(F$21:F22)</f>
        <v>0</v>
      </c>
      <c r="K22" s="7"/>
      <c r="L22" s="7">
        <v>100</v>
      </c>
      <c r="M22" s="7">
        <f>L22*1.5</f>
        <v>150</v>
      </c>
      <c r="N22" s="7"/>
      <c r="O22" s="7"/>
      <c r="P22" s="7">
        <f>SUM(L$21:L22)</f>
        <v>100</v>
      </c>
      <c r="Q22" s="7">
        <f>SUM(M$21:M22)</f>
        <v>150</v>
      </c>
      <c r="R22" s="7">
        <f>SUM(N$21:N22)</f>
        <v>0</v>
      </c>
      <c r="S22" s="7">
        <f>SUM(O$21:O22)</f>
        <v>0</v>
      </c>
      <c r="U22" s="9">
        <f>U21+1</f>
        <v>2</v>
      </c>
      <c r="V22" s="38">
        <v>25000</v>
      </c>
      <c r="W22" s="7"/>
      <c r="X22" s="7"/>
      <c r="Y22" s="7"/>
      <c r="Z22" s="7"/>
      <c r="AA22" s="7"/>
    </row>
    <row r="23" spans="2:27" outlineLevel="1" x14ac:dyDescent="0.25">
      <c r="B23" s="9" t="s">
        <v>27</v>
      </c>
      <c r="C23" s="7">
        <v>30</v>
      </c>
      <c r="D23" s="7">
        <v>90</v>
      </c>
      <c r="E23" s="7"/>
      <c r="F23" s="7"/>
      <c r="G23" s="7">
        <f>SUM(C$21:C23)</f>
        <v>50</v>
      </c>
      <c r="H23" s="7">
        <f>SUM(D$21:D23)</f>
        <v>150</v>
      </c>
      <c r="I23" s="7">
        <f>SUM(E$21:E23)</f>
        <v>0</v>
      </c>
      <c r="J23" s="7">
        <f>SUM(F$21:F23)</f>
        <v>0</v>
      </c>
      <c r="K23" s="7"/>
      <c r="L23" s="7">
        <v>200</v>
      </c>
      <c r="M23" s="7">
        <f t="shared" ref="M23:M30" si="1">L23*1.5</f>
        <v>300</v>
      </c>
      <c r="N23" s="7"/>
      <c r="O23" s="7"/>
      <c r="P23" s="7">
        <f>SUM(L$21:L23)</f>
        <v>300</v>
      </c>
      <c r="Q23" s="7">
        <f>SUM(M$21:M23)</f>
        <v>450</v>
      </c>
      <c r="R23" s="7">
        <f>SUM(N$21:N23)</f>
        <v>0</v>
      </c>
      <c r="S23" s="7">
        <f>SUM(O$21:O23)</f>
        <v>0</v>
      </c>
      <c r="U23" s="9">
        <f t="shared" ref="U23:U40" si="2">U22+1</f>
        <v>3</v>
      </c>
      <c r="V23" s="38">
        <v>50000</v>
      </c>
      <c r="W23" s="7"/>
      <c r="X23" s="7"/>
      <c r="Y23" s="7"/>
      <c r="Z23" s="7"/>
      <c r="AA23" s="7"/>
    </row>
    <row r="24" spans="2:27" outlineLevel="1" x14ac:dyDescent="0.25">
      <c r="B24" s="9" t="s">
        <v>28</v>
      </c>
      <c r="C24" s="7">
        <v>40</v>
      </c>
      <c r="D24" s="7">
        <v>120</v>
      </c>
      <c r="E24" s="7"/>
      <c r="F24" s="7"/>
      <c r="G24" s="7">
        <f>SUM(C$21:C24)</f>
        <v>90</v>
      </c>
      <c r="H24" s="7">
        <f>SUM(D$21:D24)</f>
        <v>270</v>
      </c>
      <c r="I24" s="7">
        <f>SUM(E$21:E24)</f>
        <v>0</v>
      </c>
      <c r="J24" s="7">
        <f>SUM(F$21:F24)</f>
        <v>0</v>
      </c>
      <c r="K24" s="7"/>
      <c r="L24" s="7">
        <v>300</v>
      </c>
      <c r="M24" s="7">
        <f t="shared" si="1"/>
        <v>450</v>
      </c>
      <c r="N24" s="7"/>
      <c r="O24" s="7"/>
      <c r="P24" s="7">
        <f>SUM(L$21:L24)</f>
        <v>600</v>
      </c>
      <c r="Q24" s="7">
        <f>SUM(M$21:M24)</f>
        <v>900</v>
      </c>
      <c r="R24" s="7">
        <f>SUM(N$21:N24)</f>
        <v>0</v>
      </c>
      <c r="S24" s="7">
        <f>SUM(O$21:O24)</f>
        <v>0</v>
      </c>
      <c r="U24" s="9">
        <f t="shared" si="2"/>
        <v>4</v>
      </c>
      <c r="V24" s="38"/>
      <c r="W24" s="7"/>
      <c r="X24" s="7"/>
      <c r="Y24" s="7"/>
      <c r="Z24" s="7"/>
      <c r="AA24" s="7">
        <v>5</v>
      </c>
    </row>
    <row r="25" spans="2:27" outlineLevel="1" x14ac:dyDescent="0.25">
      <c r="B25" s="9" t="s">
        <v>29</v>
      </c>
      <c r="C25" s="7">
        <v>50</v>
      </c>
      <c r="D25" s="7">
        <v>150</v>
      </c>
      <c r="E25" s="7"/>
      <c r="F25" s="7"/>
      <c r="G25" s="7">
        <f>SUM(C$21:C25)</f>
        <v>140</v>
      </c>
      <c r="H25" s="7">
        <f>SUM(D$21:D25)</f>
        <v>420</v>
      </c>
      <c r="I25" s="7">
        <f>SUM(E$21:E25)</f>
        <v>0</v>
      </c>
      <c r="J25" s="7">
        <f>SUM(F$21:F25)</f>
        <v>0</v>
      </c>
      <c r="K25" s="7"/>
      <c r="L25" s="7">
        <v>400</v>
      </c>
      <c r="M25" s="7">
        <f t="shared" si="1"/>
        <v>600</v>
      </c>
      <c r="N25" s="7"/>
      <c r="O25" s="7"/>
      <c r="P25" s="7">
        <f>SUM(L$21:L25)</f>
        <v>1000</v>
      </c>
      <c r="Q25" s="7">
        <f>SUM(M$21:M25)</f>
        <v>1500</v>
      </c>
      <c r="R25" s="7">
        <f>SUM(N$21:N25)</f>
        <v>0</v>
      </c>
      <c r="S25" s="7">
        <f>SUM(O$21:O25)</f>
        <v>0</v>
      </c>
      <c r="U25" s="9">
        <f t="shared" si="2"/>
        <v>5</v>
      </c>
      <c r="V25" s="38"/>
      <c r="W25" s="7">
        <v>3000</v>
      </c>
      <c r="X25" s="7"/>
      <c r="Y25" s="7"/>
      <c r="Z25" s="7"/>
      <c r="AA25" s="7"/>
    </row>
    <row r="26" spans="2:27" outlineLevel="1" x14ac:dyDescent="0.25">
      <c r="B26" s="9" t="s">
        <v>30</v>
      </c>
      <c r="C26" s="7">
        <v>70</v>
      </c>
      <c r="D26" s="7">
        <v>210</v>
      </c>
      <c r="E26" s="7"/>
      <c r="F26" s="7"/>
      <c r="G26" s="7">
        <f>SUM(C$21:C26)</f>
        <v>210</v>
      </c>
      <c r="H26" s="7">
        <f>SUM(D$21:D26)</f>
        <v>630</v>
      </c>
      <c r="I26" s="7">
        <f>SUM(E$21:E26)</f>
        <v>0</v>
      </c>
      <c r="J26" s="7">
        <f>SUM(F$21:F26)</f>
        <v>0</v>
      </c>
      <c r="K26" s="7"/>
      <c r="L26" s="7">
        <v>600</v>
      </c>
      <c r="M26" s="7">
        <f t="shared" si="1"/>
        <v>900</v>
      </c>
      <c r="N26" s="7"/>
      <c r="O26" s="7"/>
      <c r="P26" s="7">
        <f>SUM(L$21:L26)</f>
        <v>1600</v>
      </c>
      <c r="Q26" s="7">
        <f>SUM(M$21:M26)</f>
        <v>2400</v>
      </c>
      <c r="R26" s="7">
        <f>SUM(N$21:N26)</f>
        <v>0</v>
      </c>
      <c r="S26" s="7">
        <f>SUM(O$21:O26)</f>
        <v>0</v>
      </c>
      <c r="U26" s="9">
        <f t="shared" si="2"/>
        <v>6</v>
      </c>
      <c r="V26" s="38"/>
      <c r="W26" s="7">
        <v>7500</v>
      </c>
      <c r="X26" s="7"/>
      <c r="Y26" s="7"/>
      <c r="Z26" s="7"/>
      <c r="AA26" s="7"/>
    </row>
    <row r="27" spans="2:27" outlineLevel="1" x14ac:dyDescent="0.25">
      <c r="B27" s="9" t="s">
        <v>31</v>
      </c>
      <c r="C27" s="7">
        <v>90</v>
      </c>
      <c r="D27" s="7">
        <v>270</v>
      </c>
      <c r="E27" s="7"/>
      <c r="F27" s="7"/>
      <c r="G27" s="7">
        <f>SUM(C$21:C27)</f>
        <v>300</v>
      </c>
      <c r="H27" s="7">
        <f>SUM(D$21:D27)</f>
        <v>900</v>
      </c>
      <c r="I27" s="7">
        <f>SUM(E$21:E27)</f>
        <v>0</v>
      </c>
      <c r="J27" s="7">
        <f>SUM(F$21:F27)</f>
        <v>0</v>
      </c>
      <c r="K27" s="7"/>
      <c r="L27" s="7">
        <v>700</v>
      </c>
      <c r="M27" s="7">
        <f t="shared" si="1"/>
        <v>1050</v>
      </c>
      <c r="N27" s="7"/>
      <c r="O27" s="7"/>
      <c r="P27" s="7">
        <f>SUM(L$21:L27)</f>
        <v>2300</v>
      </c>
      <c r="Q27" s="7">
        <f>SUM(M$21:M27)</f>
        <v>3450</v>
      </c>
      <c r="R27" s="7">
        <f>SUM(N$21:N27)</f>
        <v>0</v>
      </c>
      <c r="S27" s="7">
        <f>SUM(O$21:O27)</f>
        <v>0</v>
      </c>
      <c r="U27" s="9">
        <f t="shared" si="2"/>
        <v>7</v>
      </c>
      <c r="V27" s="38"/>
      <c r="W27" s="7">
        <v>15000</v>
      </c>
      <c r="X27" s="7"/>
      <c r="Y27" s="7"/>
      <c r="Z27" s="7"/>
      <c r="AA27" s="7"/>
    </row>
    <row r="28" spans="2:27" outlineLevel="1" x14ac:dyDescent="0.25">
      <c r="B28" s="9" t="s">
        <v>32</v>
      </c>
      <c r="C28" s="7">
        <v>120</v>
      </c>
      <c r="D28" s="7">
        <v>360</v>
      </c>
      <c r="E28" s="7"/>
      <c r="F28" s="7"/>
      <c r="G28" s="7">
        <f>SUM(C$21:C28)</f>
        <v>420</v>
      </c>
      <c r="H28" s="7">
        <f>SUM(D$21:D28)</f>
        <v>1260</v>
      </c>
      <c r="I28" s="7">
        <f>SUM(E$21:E28)</f>
        <v>0</v>
      </c>
      <c r="J28" s="7">
        <f>SUM(F$21:F28)</f>
        <v>0</v>
      </c>
      <c r="K28" s="7"/>
      <c r="L28" s="7">
        <v>1000</v>
      </c>
      <c r="M28" s="7">
        <f t="shared" si="1"/>
        <v>1500</v>
      </c>
      <c r="N28" s="7"/>
      <c r="O28" s="7"/>
      <c r="P28" s="7">
        <f>SUM(L$21:L28)</f>
        <v>3300</v>
      </c>
      <c r="Q28" s="7">
        <f>SUM(M$21:M28)</f>
        <v>4950</v>
      </c>
      <c r="R28" s="7">
        <f>SUM(N$21:N28)</f>
        <v>0</v>
      </c>
      <c r="S28" s="7">
        <f>SUM(O$21:O28)</f>
        <v>0</v>
      </c>
      <c r="U28" s="9">
        <f t="shared" si="2"/>
        <v>8</v>
      </c>
      <c r="V28" s="38"/>
      <c r="W28" s="7"/>
      <c r="X28" s="7"/>
      <c r="Y28" s="7"/>
      <c r="Z28" s="7"/>
      <c r="AA28" s="7">
        <v>10</v>
      </c>
    </row>
    <row r="29" spans="2:27" outlineLevel="1" x14ac:dyDescent="0.25">
      <c r="B29" s="9" t="s">
        <v>33</v>
      </c>
      <c r="C29" s="7">
        <v>160</v>
      </c>
      <c r="D29" s="7">
        <v>480</v>
      </c>
      <c r="E29" s="7"/>
      <c r="F29" s="7"/>
      <c r="G29" s="7">
        <f>SUM(C$21:C29)</f>
        <v>580</v>
      </c>
      <c r="H29" s="7">
        <f>SUM(D$21:D29)</f>
        <v>1740</v>
      </c>
      <c r="I29" s="7">
        <f>SUM(E$21:E29)</f>
        <v>0</v>
      </c>
      <c r="J29" s="7">
        <f>SUM(F$21:F29)</f>
        <v>0</v>
      </c>
      <c r="K29" s="7"/>
      <c r="L29" s="7">
        <v>1400</v>
      </c>
      <c r="M29" s="7">
        <f t="shared" si="1"/>
        <v>2100</v>
      </c>
      <c r="N29" s="7"/>
      <c r="O29" s="7"/>
      <c r="P29" s="7">
        <f>SUM(L$21:L29)</f>
        <v>4700</v>
      </c>
      <c r="Q29" s="7">
        <f>SUM(M$21:M29)</f>
        <v>7050</v>
      </c>
      <c r="R29" s="7">
        <f>SUM(N$21:N29)</f>
        <v>0</v>
      </c>
      <c r="S29" s="7">
        <f>SUM(O$21:O29)</f>
        <v>0</v>
      </c>
      <c r="U29" s="9">
        <f t="shared" si="2"/>
        <v>9</v>
      </c>
      <c r="V29" s="38"/>
      <c r="W29" s="7"/>
      <c r="X29" s="7">
        <v>5000</v>
      </c>
      <c r="Y29" s="7"/>
      <c r="Z29" s="7"/>
      <c r="AA29" s="7"/>
    </row>
    <row r="30" spans="2:27" x14ac:dyDescent="0.25">
      <c r="B30" s="9" t="s">
        <v>34</v>
      </c>
      <c r="C30" s="7">
        <v>270</v>
      </c>
      <c r="D30" s="7">
        <v>810</v>
      </c>
      <c r="E30" s="7"/>
      <c r="F30" s="7"/>
      <c r="G30" s="7">
        <f>SUM(C$21:C30)</f>
        <v>850</v>
      </c>
      <c r="H30" s="7">
        <f>SUM(D$21:D30)</f>
        <v>2550</v>
      </c>
      <c r="I30" s="7">
        <f>SUM(E$21:E30)</f>
        <v>0</v>
      </c>
      <c r="J30" s="7">
        <f>SUM(F$21:F30)</f>
        <v>0</v>
      </c>
      <c r="K30" s="7"/>
      <c r="L30" s="7">
        <v>1900</v>
      </c>
      <c r="M30" s="7">
        <f t="shared" si="1"/>
        <v>2850</v>
      </c>
      <c r="N30" s="7"/>
      <c r="O30" s="7"/>
      <c r="P30" s="7">
        <f>SUM(L$21:L30)</f>
        <v>6600</v>
      </c>
      <c r="Q30" s="7">
        <f>SUM(M$21:M30)</f>
        <v>9900</v>
      </c>
      <c r="R30" s="7">
        <f>SUM(N$21:N30)</f>
        <v>0</v>
      </c>
      <c r="S30" s="7">
        <f>SUM(O$21:O30)</f>
        <v>0</v>
      </c>
      <c r="U30" s="9">
        <f t="shared" si="2"/>
        <v>10</v>
      </c>
      <c r="V30" s="38"/>
      <c r="W30" s="7"/>
      <c r="X30" s="7">
        <v>10000</v>
      </c>
      <c r="Y30" s="7"/>
      <c r="Z30" s="7"/>
      <c r="AA30" s="7"/>
    </row>
    <row r="31" spans="2:27" x14ac:dyDescent="0.25">
      <c r="B31" s="9" t="s">
        <v>35</v>
      </c>
      <c r="C31" s="7"/>
      <c r="D31" s="7"/>
      <c r="E31" s="7">
        <v>40</v>
      </c>
      <c r="F31" s="7">
        <v>2</v>
      </c>
      <c r="G31" s="7">
        <f>SUM(C$21:C31)</f>
        <v>850</v>
      </c>
      <c r="H31" s="7">
        <f>SUM(D$21:D31)</f>
        <v>2550</v>
      </c>
      <c r="I31" s="7">
        <f>SUM(E$21:E31)</f>
        <v>40</v>
      </c>
      <c r="J31" s="7">
        <f>SUM(F$21:F31)</f>
        <v>2</v>
      </c>
      <c r="K31" s="7"/>
      <c r="L31" s="7"/>
      <c r="M31" s="7"/>
      <c r="N31" s="7">
        <v>120</v>
      </c>
      <c r="O31" s="7">
        <v>8</v>
      </c>
      <c r="P31" s="7">
        <f>SUM(L$21:L31)</f>
        <v>6600</v>
      </c>
      <c r="Q31" s="7">
        <f>SUM(M$21:M31)</f>
        <v>9900</v>
      </c>
      <c r="R31" s="7">
        <f>SUM(N$21:N31)</f>
        <v>120</v>
      </c>
      <c r="S31" s="7">
        <f>SUM(O$21:O31)</f>
        <v>8</v>
      </c>
      <c r="U31" s="9">
        <f t="shared" si="2"/>
        <v>11</v>
      </c>
      <c r="V31" s="38"/>
      <c r="W31" s="7"/>
      <c r="X31" s="7">
        <v>25000</v>
      </c>
      <c r="Y31" s="7"/>
      <c r="Z31" s="7"/>
      <c r="AA31" s="7"/>
    </row>
    <row r="32" spans="2:27" outlineLevel="1" x14ac:dyDescent="0.25">
      <c r="B32" s="9" t="s">
        <v>36</v>
      </c>
      <c r="C32" s="7">
        <v>300</v>
      </c>
      <c r="D32" s="7">
        <v>900</v>
      </c>
      <c r="E32" s="7"/>
      <c r="F32" s="7"/>
      <c r="G32" s="7">
        <f>SUM(C$21:C32)</f>
        <v>1150</v>
      </c>
      <c r="H32" s="7">
        <f>SUM(D$21:D32)</f>
        <v>3450</v>
      </c>
      <c r="I32" s="7">
        <f>SUM(E$21:E32)</f>
        <v>40</v>
      </c>
      <c r="J32" s="7">
        <f>SUM(F$21:F32)</f>
        <v>2</v>
      </c>
      <c r="K32" s="7"/>
      <c r="L32" s="7">
        <v>1700</v>
      </c>
      <c r="M32" s="7">
        <f>L32*2</f>
        <v>3400</v>
      </c>
      <c r="N32" s="7"/>
      <c r="O32" s="7"/>
      <c r="P32" s="7">
        <f>SUM(L$21:L32)</f>
        <v>8300</v>
      </c>
      <c r="Q32" s="7">
        <f>SUM(M$21:M32)</f>
        <v>13300</v>
      </c>
      <c r="R32" s="7">
        <f>SUM(N$21:N32)</f>
        <v>120</v>
      </c>
      <c r="S32" s="7">
        <f>SUM(O$21:O32)</f>
        <v>8</v>
      </c>
      <c r="U32" s="9">
        <f t="shared" si="2"/>
        <v>12</v>
      </c>
      <c r="V32" s="38"/>
      <c r="W32" s="7"/>
      <c r="X32" s="7"/>
      <c r="Y32" s="7"/>
      <c r="Z32" s="7"/>
      <c r="AA32" s="7">
        <v>20</v>
      </c>
    </row>
    <row r="33" spans="1:27" outlineLevel="1" x14ac:dyDescent="0.25">
      <c r="B33" s="9" t="s">
        <v>37</v>
      </c>
      <c r="C33" s="7">
        <v>340</v>
      </c>
      <c r="D33" s="7">
        <v>1020</v>
      </c>
      <c r="E33" s="7"/>
      <c r="F33" s="7"/>
      <c r="G33" s="7">
        <f>SUM(C$21:C33)</f>
        <v>1490</v>
      </c>
      <c r="H33" s="7">
        <f>SUM(D$21:D33)</f>
        <v>4470</v>
      </c>
      <c r="I33" s="7">
        <f>SUM(E$21:E33)</f>
        <v>40</v>
      </c>
      <c r="J33" s="7">
        <f>SUM(F$21:F33)</f>
        <v>2</v>
      </c>
      <c r="K33" s="7"/>
      <c r="L33" s="7">
        <v>2000</v>
      </c>
      <c r="M33" s="7">
        <f t="shared" ref="M33:M60" si="3">L33*2</f>
        <v>4000</v>
      </c>
      <c r="N33" s="7"/>
      <c r="O33" s="7"/>
      <c r="P33" s="7">
        <f>SUM(L$21:L33)</f>
        <v>10300</v>
      </c>
      <c r="Q33" s="7">
        <f>SUM(M$21:M33)</f>
        <v>17300</v>
      </c>
      <c r="R33" s="7">
        <f>SUM(N$21:N33)</f>
        <v>120</v>
      </c>
      <c r="S33" s="7">
        <f>SUM(O$21:O33)</f>
        <v>8</v>
      </c>
      <c r="U33" s="9">
        <f t="shared" si="2"/>
        <v>13</v>
      </c>
      <c r="V33" s="38"/>
      <c r="W33" s="7"/>
      <c r="X33" s="7"/>
      <c r="Y33" s="7">
        <v>5000</v>
      </c>
      <c r="Z33" s="7"/>
      <c r="AA33" s="7"/>
    </row>
    <row r="34" spans="1:27" outlineLevel="1" x14ac:dyDescent="0.25">
      <c r="B34" s="9" t="s">
        <v>38</v>
      </c>
      <c r="C34" s="7">
        <v>390</v>
      </c>
      <c r="D34" s="7">
        <v>1170</v>
      </c>
      <c r="E34" s="7"/>
      <c r="F34" s="7"/>
      <c r="G34" s="7">
        <f>SUM(C$21:C34)</f>
        <v>1880</v>
      </c>
      <c r="H34" s="7">
        <f>SUM(D$21:D34)</f>
        <v>5640</v>
      </c>
      <c r="I34" s="7">
        <f>SUM(E$21:E34)</f>
        <v>40</v>
      </c>
      <c r="J34" s="7">
        <f>SUM(F$21:F34)</f>
        <v>2</v>
      </c>
      <c r="K34" s="7"/>
      <c r="L34" s="7">
        <v>2200</v>
      </c>
      <c r="M34" s="7">
        <f t="shared" si="3"/>
        <v>4400</v>
      </c>
      <c r="N34" s="7"/>
      <c r="O34" s="7"/>
      <c r="P34" s="7">
        <f>SUM(L$21:L34)</f>
        <v>12500</v>
      </c>
      <c r="Q34" s="7">
        <f>SUM(M$21:M34)</f>
        <v>21700</v>
      </c>
      <c r="R34" s="7">
        <f>SUM(N$21:N34)</f>
        <v>120</v>
      </c>
      <c r="S34" s="7">
        <f>SUM(O$21:O34)</f>
        <v>8</v>
      </c>
      <c r="U34" s="9">
        <f t="shared" si="2"/>
        <v>14</v>
      </c>
      <c r="V34" s="38"/>
      <c r="W34" s="7"/>
      <c r="X34" s="7"/>
      <c r="Y34" s="7">
        <v>10000</v>
      </c>
      <c r="Z34" s="7"/>
      <c r="AA34" s="7"/>
    </row>
    <row r="35" spans="1:27" outlineLevel="1" x14ac:dyDescent="0.25">
      <c r="B35" s="9" t="s">
        <v>39</v>
      </c>
      <c r="C35" s="7">
        <v>520</v>
      </c>
      <c r="D35" s="7">
        <v>1560</v>
      </c>
      <c r="E35" s="7"/>
      <c r="F35" s="7"/>
      <c r="G35" s="7">
        <f>SUM(C$21:C35)</f>
        <v>2400</v>
      </c>
      <c r="H35" s="7">
        <f>SUM(D$21:D35)</f>
        <v>7200</v>
      </c>
      <c r="I35" s="7">
        <f>SUM(E$21:E35)</f>
        <v>40</v>
      </c>
      <c r="J35" s="7">
        <f>SUM(F$21:F35)</f>
        <v>2</v>
      </c>
      <c r="K35" s="7"/>
      <c r="L35" s="7">
        <v>2500</v>
      </c>
      <c r="M35" s="7">
        <f t="shared" si="3"/>
        <v>5000</v>
      </c>
      <c r="N35" s="7"/>
      <c r="O35" s="7"/>
      <c r="P35" s="7">
        <f>SUM(L$21:L35)</f>
        <v>15000</v>
      </c>
      <c r="Q35" s="7">
        <f>SUM(M$21:M35)</f>
        <v>26700</v>
      </c>
      <c r="R35" s="7">
        <f>SUM(N$21:N35)</f>
        <v>120</v>
      </c>
      <c r="S35" s="7">
        <f>SUM(O$21:O35)</f>
        <v>8</v>
      </c>
      <c r="U35" s="9">
        <f t="shared" si="2"/>
        <v>15</v>
      </c>
      <c r="V35" s="38"/>
      <c r="W35" s="7"/>
      <c r="X35" s="7"/>
      <c r="Y35" s="7">
        <v>25000</v>
      </c>
      <c r="Z35" s="7"/>
      <c r="AA35" s="7"/>
    </row>
    <row r="36" spans="1:27" outlineLevel="1" x14ac:dyDescent="0.25">
      <c r="B36" s="9" t="s">
        <v>40</v>
      </c>
      <c r="C36" s="7">
        <v>600</v>
      </c>
      <c r="D36" s="7">
        <v>1800</v>
      </c>
      <c r="E36" s="7"/>
      <c r="F36" s="7"/>
      <c r="G36" s="7">
        <f>SUM(C$21:C36)</f>
        <v>3000</v>
      </c>
      <c r="H36" s="7">
        <f>SUM(D$21:D36)</f>
        <v>9000</v>
      </c>
      <c r="I36" s="7">
        <f>SUM(E$21:E36)</f>
        <v>40</v>
      </c>
      <c r="J36" s="7">
        <f>SUM(F$21:F36)</f>
        <v>2</v>
      </c>
      <c r="K36" s="7"/>
      <c r="L36" s="7">
        <v>2900</v>
      </c>
      <c r="M36" s="7">
        <f t="shared" si="3"/>
        <v>5800</v>
      </c>
      <c r="N36" s="7"/>
      <c r="O36" s="7"/>
      <c r="P36" s="7">
        <f>SUM(L$21:L36)</f>
        <v>17900</v>
      </c>
      <c r="Q36" s="7">
        <f>SUM(M$21:M36)</f>
        <v>32500</v>
      </c>
      <c r="R36" s="7">
        <f>SUM(N$21:N36)</f>
        <v>120</v>
      </c>
      <c r="S36" s="7">
        <f>SUM(O$21:O36)</f>
        <v>8</v>
      </c>
      <c r="U36" s="9">
        <f t="shared" si="2"/>
        <v>16</v>
      </c>
      <c r="V36" s="38"/>
      <c r="W36" s="7"/>
      <c r="X36" s="7"/>
      <c r="Y36" s="7"/>
      <c r="Z36" s="7"/>
      <c r="AA36" s="7">
        <v>50</v>
      </c>
    </row>
    <row r="37" spans="1:27" outlineLevel="1" x14ac:dyDescent="0.25">
      <c r="B37" s="9" t="s">
        <v>41</v>
      </c>
      <c r="C37" s="7">
        <v>700</v>
      </c>
      <c r="D37" s="7">
        <v>2100</v>
      </c>
      <c r="E37" s="7"/>
      <c r="F37" s="7"/>
      <c r="G37" s="7">
        <f>SUM(C$21:C37)</f>
        <v>3700</v>
      </c>
      <c r="H37" s="7">
        <f>SUM(D$21:D37)</f>
        <v>11100</v>
      </c>
      <c r="I37" s="7">
        <f>SUM(E$21:E37)</f>
        <v>40</v>
      </c>
      <c r="J37" s="7">
        <f>SUM(F$21:F37)</f>
        <v>2</v>
      </c>
      <c r="K37" s="7"/>
      <c r="L37" s="7">
        <v>3400</v>
      </c>
      <c r="M37" s="7">
        <f t="shared" si="3"/>
        <v>6800</v>
      </c>
      <c r="N37" s="7"/>
      <c r="O37" s="7"/>
      <c r="P37" s="7">
        <f>SUM(L$21:L37)</f>
        <v>21300</v>
      </c>
      <c r="Q37" s="7">
        <f>SUM(M$21:M37)</f>
        <v>39300</v>
      </c>
      <c r="R37" s="7">
        <f>SUM(N$21:N37)</f>
        <v>120</v>
      </c>
      <c r="S37" s="7">
        <f>SUM(O$21:O37)</f>
        <v>8</v>
      </c>
      <c r="U37" s="9">
        <f t="shared" si="2"/>
        <v>17</v>
      </c>
      <c r="V37" s="38"/>
      <c r="W37" s="7"/>
      <c r="X37" s="7"/>
      <c r="Y37" s="7"/>
      <c r="Z37" s="7">
        <v>1500</v>
      </c>
      <c r="AA37" s="7"/>
    </row>
    <row r="38" spans="1:27" outlineLevel="1" x14ac:dyDescent="0.25">
      <c r="B38" s="9" t="s">
        <v>42</v>
      </c>
      <c r="C38" s="7">
        <v>800</v>
      </c>
      <c r="D38" s="7">
        <v>2400</v>
      </c>
      <c r="E38" s="7"/>
      <c r="F38" s="7"/>
      <c r="G38" s="7">
        <f>SUM(C$21:C38)</f>
        <v>4500</v>
      </c>
      <c r="H38" s="7">
        <f>SUM(D$21:D38)</f>
        <v>13500</v>
      </c>
      <c r="I38" s="7">
        <f>SUM(E$21:E38)</f>
        <v>40</v>
      </c>
      <c r="J38" s="7">
        <f>SUM(F$21:F38)</f>
        <v>2</v>
      </c>
      <c r="K38" s="7"/>
      <c r="L38" s="7">
        <v>3900</v>
      </c>
      <c r="M38" s="7">
        <f t="shared" si="3"/>
        <v>7800</v>
      </c>
      <c r="N38" s="7"/>
      <c r="O38" s="7"/>
      <c r="P38" s="7">
        <f>SUM(L$21:L38)</f>
        <v>25200</v>
      </c>
      <c r="Q38" s="7">
        <f>SUM(M$21:M38)</f>
        <v>47100</v>
      </c>
      <c r="R38" s="7">
        <f>SUM(N$21:N38)</f>
        <v>120</v>
      </c>
      <c r="S38" s="7">
        <f>SUM(O$21:O38)</f>
        <v>8</v>
      </c>
      <c r="U38" s="9">
        <f t="shared" si="2"/>
        <v>18</v>
      </c>
      <c r="V38" s="38"/>
      <c r="W38" s="7"/>
      <c r="X38" s="7"/>
      <c r="Y38" s="7"/>
      <c r="Z38" s="7">
        <v>3000</v>
      </c>
      <c r="AA38" s="7"/>
    </row>
    <row r="39" spans="1:27" outlineLevel="1" x14ac:dyDescent="0.25">
      <c r="B39" s="9" t="s">
        <v>43</v>
      </c>
      <c r="C39" s="7">
        <v>1000</v>
      </c>
      <c r="D39" s="7">
        <v>3000</v>
      </c>
      <c r="E39" s="7"/>
      <c r="F39" s="7"/>
      <c r="G39" s="7">
        <f>SUM(C$21:C39)</f>
        <v>5500</v>
      </c>
      <c r="H39" s="7">
        <f>SUM(D$21:D39)</f>
        <v>16500</v>
      </c>
      <c r="I39" s="7">
        <f>SUM(E$21:E39)</f>
        <v>40</v>
      </c>
      <c r="J39" s="7">
        <f>SUM(F$21:F39)</f>
        <v>2</v>
      </c>
      <c r="K39" s="7"/>
      <c r="L39" s="7">
        <v>4500</v>
      </c>
      <c r="M39" s="7">
        <f t="shared" si="3"/>
        <v>9000</v>
      </c>
      <c r="N39" s="7"/>
      <c r="O39" s="7"/>
      <c r="P39" s="7">
        <f>SUM(L$21:L39)</f>
        <v>29700</v>
      </c>
      <c r="Q39" s="7">
        <f>SUM(M$21:M39)</f>
        <v>56100</v>
      </c>
      <c r="R39" s="7">
        <f>SUM(N$21:N39)</f>
        <v>120</v>
      </c>
      <c r="S39" s="7">
        <f>SUM(O$21:O39)</f>
        <v>8</v>
      </c>
      <c r="U39" s="9">
        <f t="shared" si="2"/>
        <v>19</v>
      </c>
      <c r="V39" s="38"/>
      <c r="W39" s="7"/>
      <c r="X39" s="7"/>
      <c r="Y39" s="7"/>
      <c r="Z39" s="7">
        <v>4500</v>
      </c>
      <c r="AA39" s="7"/>
    </row>
    <row r="40" spans="1:27" x14ac:dyDescent="0.25">
      <c r="B40" s="9" t="s">
        <v>44</v>
      </c>
      <c r="C40" s="7">
        <v>1200</v>
      </c>
      <c r="D40" s="7">
        <v>3600</v>
      </c>
      <c r="E40" s="7"/>
      <c r="F40" s="7"/>
      <c r="G40" s="7">
        <f>SUM(C$21:C40)</f>
        <v>6700</v>
      </c>
      <c r="H40" s="7">
        <f>SUM(D$21:D40)</f>
        <v>20100</v>
      </c>
      <c r="I40" s="7">
        <f>SUM(E$21:E40)</f>
        <v>40</v>
      </c>
      <c r="J40" s="7">
        <f>SUM(F$21:F40)</f>
        <v>2</v>
      </c>
      <c r="K40" s="7"/>
      <c r="L40" s="7">
        <v>5200</v>
      </c>
      <c r="M40" s="7">
        <f t="shared" si="3"/>
        <v>10400</v>
      </c>
      <c r="N40" s="7"/>
      <c r="O40" s="7"/>
      <c r="P40" s="7">
        <f>SUM(L$21:L40)</f>
        <v>34900</v>
      </c>
      <c r="Q40" s="7">
        <f>SUM(M$21:M40)</f>
        <v>66500</v>
      </c>
      <c r="R40" s="7">
        <f>SUM(N$21:N40)</f>
        <v>120</v>
      </c>
      <c r="S40" s="7">
        <f>SUM(O$21:O40)</f>
        <v>8</v>
      </c>
      <c r="U40" s="9">
        <f t="shared" si="2"/>
        <v>20</v>
      </c>
      <c r="V40" s="38"/>
      <c r="W40" s="7"/>
      <c r="X40" s="7"/>
      <c r="Y40" s="7"/>
      <c r="Z40" s="7"/>
      <c r="AA40" s="7">
        <v>80</v>
      </c>
    </row>
    <row r="41" spans="1:27" ht="15.75" thickBot="1" x14ac:dyDescent="0.3">
      <c r="A41" s="7"/>
      <c r="B41" s="9" t="s">
        <v>45</v>
      </c>
      <c r="C41" s="7"/>
      <c r="D41" s="7"/>
      <c r="E41" s="7">
        <v>100</v>
      </c>
      <c r="F41" s="7">
        <v>10</v>
      </c>
      <c r="G41" s="7">
        <f>SUM(C$21:C41)</f>
        <v>6700</v>
      </c>
      <c r="H41" s="7">
        <f>SUM(D$21:D41)</f>
        <v>20100</v>
      </c>
      <c r="I41" s="7">
        <f>SUM(E$21:E41)</f>
        <v>140</v>
      </c>
      <c r="J41" s="7">
        <f>SUM(F$21:F41)</f>
        <v>12</v>
      </c>
      <c r="K41" s="7"/>
      <c r="L41" s="7"/>
      <c r="M41" s="7"/>
      <c r="N41" s="7">
        <v>300</v>
      </c>
      <c r="O41" s="7">
        <v>30</v>
      </c>
      <c r="P41" s="7">
        <f>SUM(L$21:L41)</f>
        <v>34900</v>
      </c>
      <c r="Q41" s="7">
        <f>SUM(M$21:M41)</f>
        <v>66500</v>
      </c>
      <c r="R41" s="7">
        <f>SUM(N$21:N41)</f>
        <v>420</v>
      </c>
      <c r="S41" s="7">
        <f>SUM(O$21:O41)</f>
        <v>38</v>
      </c>
      <c r="U41" s="9" t="s">
        <v>92</v>
      </c>
      <c r="V41" s="39">
        <f>SUM(V21:V40)</f>
        <v>85000</v>
      </c>
      <c r="W41" s="39">
        <f t="shared" ref="W41:AA41" si="4">SUM(W21:W40)</f>
        <v>25500</v>
      </c>
      <c r="X41" s="39">
        <f t="shared" si="4"/>
        <v>40000</v>
      </c>
      <c r="Y41" s="39">
        <f t="shared" si="4"/>
        <v>40000</v>
      </c>
      <c r="Z41" s="39">
        <f t="shared" si="4"/>
        <v>9000</v>
      </c>
      <c r="AA41" s="39">
        <f t="shared" si="4"/>
        <v>165</v>
      </c>
    </row>
    <row r="42" spans="1:27" ht="15.75" outlineLevel="1" thickTop="1" x14ac:dyDescent="0.25">
      <c r="A42" s="7"/>
      <c r="B42" s="9" t="s">
        <v>46</v>
      </c>
      <c r="C42" s="7">
        <v>1400</v>
      </c>
      <c r="D42" s="7">
        <v>4200</v>
      </c>
      <c r="E42" s="7"/>
      <c r="F42" s="7"/>
      <c r="G42" s="7">
        <f>SUM(C$21:C42)</f>
        <v>8100</v>
      </c>
      <c r="H42" s="7">
        <f>SUM(D$21:D42)</f>
        <v>24300</v>
      </c>
      <c r="I42" s="7">
        <f>SUM(E$21:E42)</f>
        <v>140</v>
      </c>
      <c r="J42" s="7">
        <f>SUM(F$21:F42)</f>
        <v>12</v>
      </c>
      <c r="K42" s="7"/>
      <c r="L42" s="7">
        <v>4800</v>
      </c>
      <c r="M42" s="7">
        <f t="shared" si="3"/>
        <v>9600</v>
      </c>
      <c r="N42" s="7"/>
      <c r="O42" s="7"/>
      <c r="P42" s="7">
        <f>SUM(L$21:L42)</f>
        <v>39700</v>
      </c>
      <c r="Q42" s="7">
        <f>SUM(M$21:M42)</f>
        <v>76100</v>
      </c>
      <c r="R42" s="7">
        <f>SUM(N$21:N42)</f>
        <v>420</v>
      </c>
      <c r="S42" s="7">
        <f>SUM(O$21:O42)</f>
        <v>38</v>
      </c>
    </row>
    <row r="43" spans="1:27" outlineLevel="1" x14ac:dyDescent="0.25">
      <c r="A43" s="7"/>
      <c r="B43" s="9" t="s">
        <v>47</v>
      </c>
      <c r="C43" s="7">
        <v>1600</v>
      </c>
      <c r="D43" s="7">
        <v>4800</v>
      </c>
      <c r="E43" s="7"/>
      <c r="F43" s="7"/>
      <c r="G43" s="7">
        <f>SUM(C$21:C43)</f>
        <v>9700</v>
      </c>
      <c r="H43" s="7">
        <f>SUM(D$21:D43)</f>
        <v>29100</v>
      </c>
      <c r="I43" s="7">
        <f>SUM(E$21:E43)</f>
        <v>140</v>
      </c>
      <c r="J43" s="7">
        <f>SUM(F$21:F43)</f>
        <v>12</v>
      </c>
      <c r="K43" s="7"/>
      <c r="L43" s="7">
        <v>5300</v>
      </c>
      <c r="M43" s="7">
        <f t="shared" si="3"/>
        <v>10600</v>
      </c>
      <c r="N43" s="7"/>
      <c r="O43" s="7"/>
      <c r="P43" s="7">
        <f>SUM(L$21:L43)</f>
        <v>45000</v>
      </c>
      <c r="Q43" s="7">
        <f>SUM(M$21:M43)</f>
        <v>86700</v>
      </c>
      <c r="R43" s="7">
        <f>SUM(N$21:N43)</f>
        <v>420</v>
      </c>
      <c r="S43" s="7">
        <f>SUM(O$21:O43)</f>
        <v>38</v>
      </c>
      <c r="V43" s="7"/>
      <c r="X43" s="7"/>
    </row>
    <row r="44" spans="1:27" outlineLevel="1" x14ac:dyDescent="0.25">
      <c r="A44" s="7"/>
      <c r="B44" s="9" t="s">
        <v>48</v>
      </c>
      <c r="C44" s="7">
        <v>2000</v>
      </c>
      <c r="D44" s="7">
        <v>6000</v>
      </c>
      <c r="E44" s="7"/>
      <c r="F44" s="7"/>
      <c r="G44" s="7">
        <f>SUM(C$21:C44)</f>
        <v>11700</v>
      </c>
      <c r="H44" s="7">
        <f>SUM(D$21:D44)</f>
        <v>35100</v>
      </c>
      <c r="I44" s="7">
        <f>SUM(E$21:E44)</f>
        <v>140</v>
      </c>
      <c r="J44" s="7">
        <f>SUM(F$21:F44)</f>
        <v>12</v>
      </c>
      <c r="K44" s="7"/>
      <c r="L44" s="7">
        <v>6000</v>
      </c>
      <c r="M44" s="7">
        <f t="shared" si="3"/>
        <v>12000</v>
      </c>
      <c r="N44" s="7"/>
      <c r="O44" s="7"/>
      <c r="P44" s="7">
        <f>SUM(L$21:L44)</f>
        <v>51000</v>
      </c>
      <c r="Q44" s="7">
        <f>SUM(M$21:M44)</f>
        <v>98700</v>
      </c>
      <c r="R44" s="7">
        <f>SUM(N$21:N44)</f>
        <v>420</v>
      </c>
      <c r="S44" s="7">
        <f>SUM(O$21:O44)</f>
        <v>38</v>
      </c>
      <c r="W44" s="8"/>
      <c r="X44" s="7"/>
    </row>
    <row r="45" spans="1:27" outlineLevel="1" x14ac:dyDescent="0.25">
      <c r="A45" s="7"/>
      <c r="B45" s="9" t="s">
        <v>49</v>
      </c>
      <c r="C45" s="7">
        <v>2300</v>
      </c>
      <c r="D45" s="7">
        <v>6900</v>
      </c>
      <c r="E45" s="7"/>
      <c r="F45" s="7"/>
      <c r="G45" s="7">
        <f>SUM(C$21:C45)</f>
        <v>14000</v>
      </c>
      <c r="H45" s="7">
        <f>SUM(D$21:D45)</f>
        <v>42000</v>
      </c>
      <c r="I45" s="7">
        <f>SUM(E$21:E45)</f>
        <v>140</v>
      </c>
      <c r="J45" s="7">
        <f>SUM(F$21:F45)</f>
        <v>12</v>
      </c>
      <c r="K45" s="7"/>
      <c r="L45" s="7">
        <v>6700</v>
      </c>
      <c r="M45" s="7">
        <f t="shared" si="3"/>
        <v>13400</v>
      </c>
      <c r="N45" s="7"/>
      <c r="O45" s="7"/>
      <c r="P45" s="7">
        <f>SUM(L$21:L45)</f>
        <v>57700</v>
      </c>
      <c r="Q45" s="7">
        <f>SUM(M$21:M45)</f>
        <v>112100</v>
      </c>
      <c r="R45" s="7">
        <f>SUM(N$21:N45)</f>
        <v>420</v>
      </c>
      <c r="S45" s="7">
        <f>SUM(O$21:O45)</f>
        <v>38</v>
      </c>
    </row>
    <row r="46" spans="1:27" outlineLevel="1" x14ac:dyDescent="0.25">
      <c r="A46" s="7"/>
      <c r="B46" s="9" t="s">
        <v>50</v>
      </c>
      <c r="C46" s="7">
        <v>2600</v>
      </c>
      <c r="D46" s="7">
        <v>7800</v>
      </c>
      <c r="E46" s="7"/>
      <c r="F46" s="7"/>
      <c r="G46" s="7">
        <f>SUM(C$21:C46)</f>
        <v>16600</v>
      </c>
      <c r="H46" s="7">
        <f>SUM(D$21:D46)</f>
        <v>49800</v>
      </c>
      <c r="I46" s="7">
        <f>SUM(E$21:E46)</f>
        <v>140</v>
      </c>
      <c r="J46" s="7">
        <f>SUM(F$21:F46)</f>
        <v>12</v>
      </c>
      <c r="K46" s="7"/>
      <c r="L46" s="7">
        <v>7600</v>
      </c>
      <c r="M46" s="7">
        <f t="shared" si="3"/>
        <v>15200</v>
      </c>
      <c r="N46" s="7"/>
      <c r="O46" s="7"/>
      <c r="P46" s="7">
        <f>SUM(L$21:L46)</f>
        <v>65300</v>
      </c>
      <c r="Q46" s="7">
        <f>SUM(M$21:M46)</f>
        <v>127300</v>
      </c>
      <c r="R46" s="7">
        <f>SUM(N$21:N46)</f>
        <v>420</v>
      </c>
      <c r="S46" s="7">
        <f>SUM(O$21:O46)</f>
        <v>38</v>
      </c>
      <c r="V46" t="s">
        <v>93</v>
      </c>
      <c r="W46" s="7"/>
    </row>
    <row r="47" spans="1:27" outlineLevel="1" x14ac:dyDescent="0.25">
      <c r="A47" s="7"/>
      <c r="B47" s="9" t="s">
        <v>51</v>
      </c>
      <c r="C47" s="7">
        <v>2900</v>
      </c>
      <c r="D47" s="7">
        <v>8700</v>
      </c>
      <c r="E47" s="7"/>
      <c r="F47" s="7"/>
      <c r="G47" s="7">
        <f>SUM(C$21:C47)</f>
        <v>19500</v>
      </c>
      <c r="H47" s="7">
        <f>SUM(D$21:D47)</f>
        <v>58500</v>
      </c>
      <c r="I47" s="7">
        <f>SUM(E$21:E47)</f>
        <v>140</v>
      </c>
      <c r="J47" s="7">
        <f>SUM(F$21:F47)</f>
        <v>12</v>
      </c>
      <c r="K47" s="7"/>
      <c r="L47" s="7">
        <v>8500</v>
      </c>
      <c r="M47" s="7">
        <f t="shared" si="3"/>
        <v>17000</v>
      </c>
      <c r="N47" s="7"/>
      <c r="O47" s="7"/>
      <c r="P47" s="7">
        <f>SUM(L$21:L47)</f>
        <v>73800</v>
      </c>
      <c r="Q47" s="7">
        <f>SUM(M$21:M47)</f>
        <v>144300</v>
      </c>
      <c r="R47" s="7">
        <f>SUM(N$21:N47)</f>
        <v>420</v>
      </c>
      <c r="S47" s="7">
        <f>SUM(O$21:O47)</f>
        <v>38</v>
      </c>
    </row>
    <row r="48" spans="1:27" outlineLevel="1" x14ac:dyDescent="0.25">
      <c r="A48" s="7"/>
      <c r="B48" s="9" t="s">
        <v>52</v>
      </c>
      <c r="C48" s="7">
        <v>3600</v>
      </c>
      <c r="D48" s="7">
        <v>10800</v>
      </c>
      <c r="E48" s="7"/>
      <c r="F48" s="7"/>
      <c r="G48" s="7">
        <f>SUM(C$21:C48)</f>
        <v>23100</v>
      </c>
      <c r="H48" s="7">
        <f>SUM(D$21:D48)</f>
        <v>69300</v>
      </c>
      <c r="I48" s="7">
        <f>SUM(E$21:E48)</f>
        <v>140</v>
      </c>
      <c r="J48" s="7">
        <f>SUM(F$21:F48)</f>
        <v>12</v>
      </c>
      <c r="K48" s="7"/>
      <c r="L48" s="7">
        <v>9600</v>
      </c>
      <c r="M48" s="7">
        <f t="shared" si="3"/>
        <v>19200</v>
      </c>
      <c r="N48" s="7"/>
      <c r="O48" s="7"/>
      <c r="P48" s="7">
        <f>SUM(L$21:L48)</f>
        <v>83400</v>
      </c>
      <c r="Q48" s="7">
        <f>SUM(M$21:M48)</f>
        <v>163500</v>
      </c>
      <c r="R48" s="7">
        <f>SUM(N$21:N48)</f>
        <v>420</v>
      </c>
      <c r="S48" s="7">
        <f>SUM(O$21:O48)</f>
        <v>38</v>
      </c>
      <c r="V48" s="21"/>
    </row>
    <row r="49" spans="1:39" outlineLevel="1" x14ac:dyDescent="0.25">
      <c r="A49" s="7"/>
      <c r="B49" s="9" t="s">
        <v>53</v>
      </c>
      <c r="C49" s="7">
        <v>4100</v>
      </c>
      <c r="D49" s="7">
        <v>12300</v>
      </c>
      <c r="E49" s="7"/>
      <c r="F49" s="7"/>
      <c r="G49" s="7">
        <f>SUM(C$21:C49)</f>
        <v>27200</v>
      </c>
      <c r="H49" s="7">
        <f>SUM(D$21:D49)</f>
        <v>81600</v>
      </c>
      <c r="I49" s="7">
        <f>SUM(E$21:E49)</f>
        <v>140</v>
      </c>
      <c r="J49" s="7">
        <f>SUM(F$21:F49)</f>
        <v>12</v>
      </c>
      <c r="K49" s="7"/>
      <c r="L49" s="7">
        <v>11000</v>
      </c>
      <c r="M49" s="7">
        <f t="shared" si="3"/>
        <v>22000</v>
      </c>
      <c r="N49" s="7"/>
      <c r="O49" s="7"/>
      <c r="P49" s="7">
        <f>SUM(L$21:L49)</f>
        <v>94400</v>
      </c>
      <c r="Q49" s="7">
        <f>SUM(M$21:M49)</f>
        <v>185500</v>
      </c>
      <c r="R49" s="7">
        <f>SUM(N$21:N49)</f>
        <v>420</v>
      </c>
      <c r="S49" s="7">
        <f>SUM(O$21:O49)</f>
        <v>38</v>
      </c>
      <c r="V49" s="21"/>
    </row>
    <row r="50" spans="1:39" x14ac:dyDescent="0.25">
      <c r="A50" s="7"/>
      <c r="B50" s="9" t="s">
        <v>54</v>
      </c>
      <c r="C50" s="7">
        <v>4600</v>
      </c>
      <c r="D50" s="7">
        <v>13800</v>
      </c>
      <c r="E50" s="7"/>
      <c r="F50" s="7"/>
      <c r="G50" s="7">
        <f>SUM(C$21:C50)</f>
        <v>31800</v>
      </c>
      <c r="H50" s="7">
        <f>SUM(D$21:D50)</f>
        <v>95400</v>
      </c>
      <c r="I50" s="7">
        <f>SUM(E$21:E50)</f>
        <v>140</v>
      </c>
      <c r="J50" s="7">
        <f>SUM(F$21:F50)</f>
        <v>12</v>
      </c>
      <c r="K50" s="7"/>
      <c r="L50" s="7">
        <v>12000</v>
      </c>
      <c r="M50" s="7">
        <f t="shared" si="3"/>
        <v>24000</v>
      </c>
      <c r="N50" s="7"/>
      <c r="O50" s="7"/>
      <c r="P50" s="7">
        <f>SUM(L$21:L50)</f>
        <v>106400</v>
      </c>
      <c r="Q50" s="7">
        <f>SUM(M$21:M50)</f>
        <v>209500</v>
      </c>
      <c r="R50" s="7">
        <f>SUM(N$21:N50)</f>
        <v>420</v>
      </c>
      <c r="S50" s="7">
        <f>SUM(O$21:O50)</f>
        <v>38</v>
      </c>
      <c r="V50" s="21"/>
    </row>
    <row r="51" spans="1:39" x14ac:dyDescent="0.25">
      <c r="B51" s="9" t="s">
        <v>55</v>
      </c>
      <c r="C51" s="7"/>
      <c r="D51" s="7"/>
      <c r="E51" s="7">
        <v>300</v>
      </c>
      <c r="F51" s="7">
        <v>50</v>
      </c>
      <c r="G51" s="7">
        <f>SUM(C$21:C51)</f>
        <v>31800</v>
      </c>
      <c r="H51" s="7">
        <f>SUM(D$21:D51)</f>
        <v>95400</v>
      </c>
      <c r="I51" s="7">
        <f>SUM(E$21:E51)</f>
        <v>440</v>
      </c>
      <c r="J51" s="7">
        <f>SUM(F$21:F51)</f>
        <v>62</v>
      </c>
      <c r="K51" s="7"/>
      <c r="L51" s="7"/>
      <c r="M51" s="7"/>
      <c r="N51" s="7">
        <v>900</v>
      </c>
      <c r="O51" s="7">
        <v>150</v>
      </c>
      <c r="P51" s="7">
        <f>SUM(L$21:L51)</f>
        <v>106400</v>
      </c>
      <c r="Q51" s="7">
        <f>SUM(M$21:M51)</f>
        <v>209500</v>
      </c>
      <c r="R51" s="7">
        <f>SUM(N$21:N51)</f>
        <v>1320</v>
      </c>
      <c r="S51" s="7">
        <f>SUM(O$21:O51)</f>
        <v>188</v>
      </c>
      <c r="V51" s="21"/>
    </row>
    <row r="52" spans="1:39" outlineLevel="1" x14ac:dyDescent="0.25">
      <c r="A52" s="7"/>
      <c r="B52" s="9" t="s">
        <v>56</v>
      </c>
      <c r="C52" s="7">
        <v>5000</v>
      </c>
      <c r="D52" s="7">
        <v>15000</v>
      </c>
      <c r="E52" s="7"/>
      <c r="F52" s="7"/>
      <c r="G52" s="7">
        <f>SUM(C$21:C52)</f>
        <v>36800</v>
      </c>
      <c r="H52" s="7">
        <f>SUM(D$21:D52)</f>
        <v>110400</v>
      </c>
      <c r="I52" s="7">
        <f>SUM(E$21:E52)</f>
        <v>440</v>
      </c>
      <c r="J52" s="7">
        <f>SUM(F$21:F52)</f>
        <v>62</v>
      </c>
      <c r="K52" s="7"/>
      <c r="L52" s="7">
        <v>12500</v>
      </c>
      <c r="M52" s="7">
        <f t="shared" si="3"/>
        <v>25000</v>
      </c>
      <c r="N52" s="7"/>
      <c r="O52" s="7"/>
      <c r="P52" s="7">
        <f>SUM(L$21:L52)</f>
        <v>118900</v>
      </c>
      <c r="Q52" s="7">
        <f>SUM(M$21:M52)</f>
        <v>234500</v>
      </c>
      <c r="R52" s="7">
        <f>SUM(N$21:N52)</f>
        <v>1320</v>
      </c>
      <c r="S52" s="7">
        <f>SUM(O$21:O52)</f>
        <v>188</v>
      </c>
      <c r="V52" s="21"/>
    </row>
    <row r="53" spans="1:39" outlineLevel="1" x14ac:dyDescent="0.25">
      <c r="A53" s="7"/>
      <c r="B53" s="9" t="s">
        <v>57</v>
      </c>
      <c r="C53" s="7">
        <v>5500</v>
      </c>
      <c r="D53" s="7">
        <v>16500</v>
      </c>
      <c r="E53" s="7"/>
      <c r="F53" s="7"/>
      <c r="G53" s="7">
        <f>SUM(C$21:C53)</f>
        <v>42300</v>
      </c>
      <c r="H53" s="7">
        <f>SUM(D$21:D53)</f>
        <v>126900</v>
      </c>
      <c r="I53" s="7">
        <f>SUM(E$21:E53)</f>
        <v>440</v>
      </c>
      <c r="J53" s="7">
        <f>SUM(F$21:F53)</f>
        <v>62</v>
      </c>
      <c r="K53" s="7"/>
      <c r="L53" s="7">
        <v>13750</v>
      </c>
      <c r="M53" s="7">
        <f t="shared" si="3"/>
        <v>27500</v>
      </c>
      <c r="N53" s="7"/>
      <c r="O53" s="7"/>
      <c r="P53" s="7">
        <f>SUM(L$21:L53)</f>
        <v>132650</v>
      </c>
      <c r="Q53" s="7">
        <f>SUM(M$21:M53)</f>
        <v>262000</v>
      </c>
      <c r="R53" s="7">
        <f>SUM(N$21:N53)</f>
        <v>1320</v>
      </c>
      <c r="S53" s="7">
        <f>SUM(O$21:O53)</f>
        <v>188</v>
      </c>
      <c r="V53" s="21"/>
    </row>
    <row r="54" spans="1:39" outlineLevel="1" x14ac:dyDescent="0.25">
      <c r="A54" s="7"/>
      <c r="B54" s="9" t="s">
        <v>58</v>
      </c>
      <c r="C54" s="7">
        <v>6000</v>
      </c>
      <c r="D54" s="7">
        <v>18000</v>
      </c>
      <c r="E54" s="7"/>
      <c r="F54" s="7"/>
      <c r="G54" s="7">
        <f>SUM(C$21:C54)</f>
        <v>48300</v>
      </c>
      <c r="H54" s="7">
        <f>SUM(D$21:D54)</f>
        <v>144900</v>
      </c>
      <c r="I54" s="7">
        <f>SUM(E$21:E54)</f>
        <v>440</v>
      </c>
      <c r="J54" s="7">
        <f>SUM(F$21:F54)</f>
        <v>62</v>
      </c>
      <c r="K54" s="7"/>
      <c r="L54" s="7">
        <v>15000</v>
      </c>
      <c r="M54" s="7">
        <f t="shared" si="3"/>
        <v>30000</v>
      </c>
      <c r="N54" s="7"/>
      <c r="O54" s="7"/>
      <c r="P54" s="7">
        <f>SUM(L$21:L54)</f>
        <v>147650</v>
      </c>
      <c r="Q54" s="7">
        <f>SUM(M$21:M54)</f>
        <v>292000</v>
      </c>
      <c r="R54" s="7">
        <f>SUM(N$21:N54)</f>
        <v>1320</v>
      </c>
      <c r="S54" s="7">
        <f>SUM(O$21:O54)</f>
        <v>188</v>
      </c>
      <c r="V54" s="21"/>
    </row>
    <row r="55" spans="1:39" outlineLevel="1" x14ac:dyDescent="0.25">
      <c r="A55" s="7"/>
      <c r="B55" s="9" t="s">
        <v>59</v>
      </c>
      <c r="C55" s="7">
        <v>6500</v>
      </c>
      <c r="D55" s="7">
        <v>19500</v>
      </c>
      <c r="E55" s="7"/>
      <c r="F55" s="7"/>
      <c r="G55" s="7">
        <f>SUM(C$21:C55)</f>
        <v>54800</v>
      </c>
      <c r="H55" s="7">
        <f>SUM(D$21:D55)</f>
        <v>164400</v>
      </c>
      <c r="I55" s="7">
        <f>SUM(E$21:E55)</f>
        <v>440</v>
      </c>
      <c r="J55" s="7">
        <f>SUM(F$21:F55)</f>
        <v>62</v>
      </c>
      <c r="K55" s="7"/>
      <c r="L55" s="7">
        <v>16250</v>
      </c>
      <c r="M55" s="7">
        <f t="shared" si="3"/>
        <v>32500</v>
      </c>
      <c r="N55" s="7"/>
      <c r="O55" s="7"/>
      <c r="P55" s="7">
        <f>SUM(L$21:L55)</f>
        <v>163900</v>
      </c>
      <c r="Q55" s="7">
        <f>SUM(M$21:M55)</f>
        <v>324500</v>
      </c>
      <c r="R55" s="7">
        <f>SUM(N$21:N55)</f>
        <v>1320</v>
      </c>
      <c r="S55" s="7">
        <f>SUM(O$21:O55)</f>
        <v>188</v>
      </c>
      <c r="V55" s="21"/>
    </row>
    <row r="56" spans="1:39" outlineLevel="1" x14ac:dyDescent="0.25">
      <c r="A56" s="7"/>
      <c r="B56" s="9" t="s">
        <v>60</v>
      </c>
      <c r="C56" s="7">
        <v>7000</v>
      </c>
      <c r="D56" s="7">
        <v>21000</v>
      </c>
      <c r="E56" s="7"/>
      <c r="F56" s="7"/>
      <c r="G56" s="7">
        <f>SUM(C$21:C56)</f>
        <v>61800</v>
      </c>
      <c r="H56" s="7">
        <f>SUM(D$21:D56)</f>
        <v>185400</v>
      </c>
      <c r="I56" s="7">
        <f>SUM(E$21:E56)</f>
        <v>440</v>
      </c>
      <c r="J56" s="7">
        <f>SUM(F$21:F56)</f>
        <v>62</v>
      </c>
      <c r="K56" s="7"/>
      <c r="L56" s="7">
        <v>17500</v>
      </c>
      <c r="M56" s="7">
        <f t="shared" si="3"/>
        <v>35000</v>
      </c>
      <c r="N56" s="7"/>
      <c r="O56" s="7"/>
      <c r="P56" s="7">
        <f>SUM(L$21:L56)</f>
        <v>181400</v>
      </c>
      <c r="Q56" s="7">
        <f>SUM(M$21:M56)</f>
        <v>359500</v>
      </c>
      <c r="R56" s="7">
        <f>SUM(N$21:N56)</f>
        <v>1320</v>
      </c>
      <c r="S56" s="7">
        <f>SUM(O$21:O56)</f>
        <v>188</v>
      </c>
      <c r="V56" s="21"/>
    </row>
    <row r="57" spans="1:39" outlineLevel="1" x14ac:dyDescent="0.25">
      <c r="A57" s="7"/>
      <c r="B57" s="9" t="s">
        <v>61</v>
      </c>
      <c r="C57" s="7">
        <v>7500</v>
      </c>
      <c r="D57" s="7">
        <v>22500</v>
      </c>
      <c r="E57" s="7"/>
      <c r="F57" s="7"/>
      <c r="G57" s="7">
        <f>SUM(C$21:C57)</f>
        <v>69300</v>
      </c>
      <c r="H57" s="7">
        <f>SUM(D$21:D57)</f>
        <v>207900</v>
      </c>
      <c r="I57" s="7">
        <f>SUM(E$21:E57)</f>
        <v>440</v>
      </c>
      <c r="J57" s="7">
        <f>SUM(F$21:F57)</f>
        <v>62</v>
      </c>
      <c r="K57" s="7"/>
      <c r="L57" s="7">
        <v>18750</v>
      </c>
      <c r="M57" s="7">
        <f t="shared" si="3"/>
        <v>37500</v>
      </c>
      <c r="N57" s="7"/>
      <c r="O57" s="7"/>
      <c r="P57" s="7">
        <f>SUM(L$21:L57)</f>
        <v>200150</v>
      </c>
      <c r="Q57" s="7">
        <f>SUM(M$21:M57)</f>
        <v>397000</v>
      </c>
      <c r="R57" s="7">
        <f>SUM(N$21:N57)</f>
        <v>1320</v>
      </c>
      <c r="S57" s="7">
        <f>SUM(O$21:O57)</f>
        <v>188</v>
      </c>
      <c r="V57" s="21"/>
    </row>
    <row r="58" spans="1:39" outlineLevel="1" x14ac:dyDescent="0.25">
      <c r="A58" s="7"/>
      <c r="B58" s="9" t="s">
        <v>62</v>
      </c>
      <c r="C58" s="7">
        <v>8000</v>
      </c>
      <c r="D58" s="7">
        <v>24000</v>
      </c>
      <c r="E58" s="7"/>
      <c r="F58" s="7"/>
      <c r="G58" s="7">
        <f>SUM(C$21:C58)</f>
        <v>77300</v>
      </c>
      <c r="H58" s="7">
        <f>SUM(D$21:D58)</f>
        <v>231900</v>
      </c>
      <c r="I58" s="7">
        <f>SUM(E$21:E58)</f>
        <v>440</v>
      </c>
      <c r="J58" s="7">
        <f>SUM(F$21:F58)</f>
        <v>62</v>
      </c>
      <c r="K58" s="7"/>
      <c r="L58" s="7">
        <v>20000</v>
      </c>
      <c r="M58" s="7">
        <f t="shared" si="3"/>
        <v>40000</v>
      </c>
      <c r="N58" s="7"/>
      <c r="O58" s="7"/>
      <c r="P58" s="7">
        <f>SUM(L$21:L58)</f>
        <v>220150</v>
      </c>
      <c r="Q58" s="7">
        <f>SUM(M$21:M58)</f>
        <v>437000</v>
      </c>
      <c r="R58" s="7">
        <f>SUM(N$21:N58)</f>
        <v>1320</v>
      </c>
      <c r="S58" s="7">
        <f>SUM(O$21:O58)</f>
        <v>188</v>
      </c>
      <c r="V58" s="21"/>
    </row>
    <row r="59" spans="1:39" outlineLevel="1" x14ac:dyDescent="0.25">
      <c r="A59" s="7"/>
      <c r="B59" s="9" t="s">
        <v>63</v>
      </c>
      <c r="C59" s="7">
        <v>10000</v>
      </c>
      <c r="D59" s="7">
        <v>30000</v>
      </c>
      <c r="E59" s="7"/>
      <c r="F59" s="7"/>
      <c r="G59" s="7">
        <f>SUM(C$21:C59)</f>
        <v>87300</v>
      </c>
      <c r="H59" s="7">
        <f>SUM(D$21:D59)</f>
        <v>261900</v>
      </c>
      <c r="I59" s="7">
        <f>SUM(E$21:E59)</f>
        <v>440</v>
      </c>
      <c r="J59" s="7">
        <f>SUM(F$21:F59)</f>
        <v>62</v>
      </c>
      <c r="K59" s="7"/>
      <c r="L59" s="7">
        <v>25000</v>
      </c>
      <c r="M59" s="7">
        <f t="shared" si="3"/>
        <v>50000</v>
      </c>
      <c r="N59" s="7"/>
      <c r="O59" s="7"/>
      <c r="P59" s="7">
        <f>SUM(L$21:L59)</f>
        <v>245150</v>
      </c>
      <c r="Q59" s="7">
        <f>SUM(M$21:M59)</f>
        <v>487000</v>
      </c>
      <c r="R59" s="7">
        <f>SUM(N$21:N59)</f>
        <v>1320</v>
      </c>
      <c r="S59" s="7">
        <f>SUM(O$21:O59)</f>
        <v>188</v>
      </c>
      <c r="V59" s="21"/>
    </row>
    <row r="60" spans="1:39" x14ac:dyDescent="0.25">
      <c r="A60" s="7"/>
      <c r="B60" s="9" t="s">
        <v>64</v>
      </c>
      <c r="C60" s="7">
        <v>12000</v>
      </c>
      <c r="D60" s="7">
        <v>36000</v>
      </c>
      <c r="E60" s="7"/>
      <c r="F60" s="7"/>
      <c r="G60" s="7">
        <f>SUM(C$21:C60)</f>
        <v>99300</v>
      </c>
      <c r="H60" s="7">
        <f>SUM(D$21:D60)</f>
        <v>297900</v>
      </c>
      <c r="I60" s="7">
        <f>SUM(E$21:E60)</f>
        <v>440</v>
      </c>
      <c r="J60" s="7">
        <f>SUM(F$21:F60)</f>
        <v>62</v>
      </c>
      <c r="K60" s="7"/>
      <c r="L60" s="7">
        <v>30000</v>
      </c>
      <c r="M60" s="7">
        <f t="shared" si="3"/>
        <v>60000</v>
      </c>
      <c r="N60" s="7"/>
      <c r="O60" s="7"/>
      <c r="P60" s="7">
        <f>SUM(L$21:L60)</f>
        <v>275150</v>
      </c>
      <c r="Q60" s="7">
        <f>SUM(M$21:M60)</f>
        <v>547000</v>
      </c>
      <c r="R60" s="7">
        <f>SUM(N$21:N60)</f>
        <v>1320</v>
      </c>
      <c r="S60" s="7">
        <f>SUM(O$21:O60)</f>
        <v>188</v>
      </c>
      <c r="U60" s="7"/>
      <c r="V60" s="21"/>
    </row>
    <row r="61" spans="1:39" x14ac:dyDescent="0.25">
      <c r="B61" s="9" t="s">
        <v>65</v>
      </c>
      <c r="C61" s="7"/>
      <c r="D61" s="7"/>
      <c r="E61" s="7">
        <v>500</v>
      </c>
      <c r="F61" s="7">
        <v>100</v>
      </c>
      <c r="G61" s="7">
        <f>SUM(C$21:C61)</f>
        <v>99300</v>
      </c>
      <c r="H61" s="7">
        <f>SUM(D$21:D61)</f>
        <v>297900</v>
      </c>
      <c r="I61" s="7">
        <f>SUM(E$21:E61)</f>
        <v>940</v>
      </c>
      <c r="J61" s="7">
        <f>SUM(F$21:F61)</f>
        <v>162</v>
      </c>
      <c r="K61" s="7"/>
      <c r="L61" s="7"/>
      <c r="M61" s="7"/>
      <c r="N61" s="7">
        <v>1500</v>
      </c>
      <c r="O61" s="7">
        <v>300</v>
      </c>
      <c r="P61" s="7">
        <f>SUM(L$21:L61)</f>
        <v>275150</v>
      </c>
      <c r="Q61" s="7">
        <f>SUM(M$21:M61)</f>
        <v>547000</v>
      </c>
      <c r="R61" s="7">
        <f>SUM(N$21:N61)</f>
        <v>2820</v>
      </c>
      <c r="S61" s="7">
        <f>SUM(O$21:O61)</f>
        <v>488</v>
      </c>
      <c r="V61" s="21"/>
    </row>
    <row r="62" spans="1:39" outlineLevel="1" x14ac:dyDescent="0.25">
      <c r="A62" s="7"/>
      <c r="B62" s="9" t="s">
        <v>66</v>
      </c>
      <c r="C62" s="7">
        <v>14000</v>
      </c>
      <c r="D62" s="7">
        <v>42000</v>
      </c>
      <c r="E62" s="7"/>
      <c r="F62" s="7"/>
      <c r="G62" s="7">
        <f>SUM(C$21:C62)</f>
        <v>113300</v>
      </c>
      <c r="H62" s="7">
        <f>SUM(D$21:D62)</f>
        <v>339900</v>
      </c>
      <c r="I62" s="7">
        <f>SUM(E$21:E62)</f>
        <v>940</v>
      </c>
      <c r="J62" s="7">
        <f>SUM(F$21:F62)</f>
        <v>162</v>
      </c>
      <c r="K62" s="7"/>
      <c r="L62" s="7">
        <v>35000</v>
      </c>
      <c r="M62" s="7">
        <f>L62*1.5</f>
        <v>52500</v>
      </c>
      <c r="N62" s="7"/>
      <c r="O62" s="7"/>
      <c r="P62" s="7">
        <f>SUM(L$21:L62)</f>
        <v>310150</v>
      </c>
      <c r="Q62" s="7">
        <f>SUM(M$21:M62)</f>
        <v>599500</v>
      </c>
      <c r="R62" s="7">
        <f>SUM(N$21:N62)</f>
        <v>2820</v>
      </c>
      <c r="S62" s="7">
        <f>SUM(O$21:O62)</f>
        <v>488</v>
      </c>
      <c r="V62" s="21"/>
    </row>
    <row r="63" spans="1:39" outlineLevel="1" x14ac:dyDescent="0.25">
      <c r="A63" s="7"/>
      <c r="B63" s="9" t="s">
        <v>67</v>
      </c>
      <c r="C63" s="7">
        <v>16000</v>
      </c>
      <c r="D63" s="7">
        <v>48000</v>
      </c>
      <c r="E63" s="7"/>
      <c r="F63" s="7"/>
      <c r="G63" s="7">
        <f>SUM(C$21:C63)</f>
        <v>129300</v>
      </c>
      <c r="H63" s="7">
        <f>SUM(D$21:D63)</f>
        <v>387900</v>
      </c>
      <c r="I63" s="7">
        <f>SUM(E$21:E63)</f>
        <v>940</v>
      </c>
      <c r="J63" s="7">
        <f>SUM(F$21:F63)</f>
        <v>162</v>
      </c>
      <c r="K63" s="7"/>
      <c r="L63" s="7">
        <v>40000</v>
      </c>
      <c r="M63" s="7">
        <f t="shared" ref="M63:M70" si="5">L63*1.5</f>
        <v>60000</v>
      </c>
      <c r="N63" s="7"/>
      <c r="O63" s="7"/>
      <c r="P63" s="7">
        <f>SUM(L$21:L63)</f>
        <v>350150</v>
      </c>
      <c r="Q63" s="7">
        <f>SUM(M$21:M63)</f>
        <v>659500</v>
      </c>
      <c r="R63" s="7">
        <f>SUM(N$21:N63)</f>
        <v>2820</v>
      </c>
      <c r="S63" s="7">
        <f>SUM(O$21:O63)</f>
        <v>488</v>
      </c>
      <c r="T63" s="21"/>
      <c r="V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outlineLevel="1" x14ac:dyDescent="0.25">
      <c r="A64" s="7"/>
      <c r="B64" s="9" t="s">
        <v>68</v>
      </c>
      <c r="C64" s="7">
        <v>19000</v>
      </c>
      <c r="D64" s="7">
        <v>57000</v>
      </c>
      <c r="E64" s="7"/>
      <c r="F64" s="7"/>
      <c r="G64" s="7">
        <f>SUM(C$21:C64)</f>
        <v>148300</v>
      </c>
      <c r="H64" s="7">
        <f>SUM(D$21:D64)</f>
        <v>444900</v>
      </c>
      <c r="I64" s="7">
        <f>SUM(E$21:E64)</f>
        <v>940</v>
      </c>
      <c r="J64" s="7">
        <f>SUM(F$21:F64)</f>
        <v>162</v>
      </c>
      <c r="K64" s="7"/>
      <c r="L64" s="7">
        <v>47500</v>
      </c>
      <c r="M64" s="7">
        <f t="shared" si="5"/>
        <v>71250</v>
      </c>
      <c r="N64" s="7"/>
      <c r="O64" s="7"/>
      <c r="P64" s="7">
        <f>SUM(L$21:L64)</f>
        <v>397650</v>
      </c>
      <c r="Q64" s="7">
        <f>SUM(M$21:M64)</f>
        <v>730750</v>
      </c>
      <c r="R64" s="7">
        <f>SUM(N$21:N64)</f>
        <v>2820</v>
      </c>
      <c r="S64" s="7">
        <f>SUM(O$21:O64)</f>
        <v>488</v>
      </c>
      <c r="T64" s="21"/>
      <c r="V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outlineLevel="1" x14ac:dyDescent="0.25">
      <c r="A65" s="7"/>
      <c r="B65" s="9" t="s">
        <v>69</v>
      </c>
      <c r="C65" s="7">
        <v>23000</v>
      </c>
      <c r="D65" s="7">
        <v>69000</v>
      </c>
      <c r="E65" s="7"/>
      <c r="F65" s="7"/>
      <c r="G65" s="7">
        <f>SUM(C$21:C65)</f>
        <v>171300</v>
      </c>
      <c r="H65" s="7">
        <f>SUM(D$21:D65)</f>
        <v>513900</v>
      </c>
      <c r="I65" s="7">
        <f>SUM(E$21:E65)</f>
        <v>940</v>
      </c>
      <c r="J65" s="7">
        <f>SUM(F$21:F65)</f>
        <v>162</v>
      </c>
      <c r="K65" s="14"/>
      <c r="L65" s="14">
        <v>57500</v>
      </c>
      <c r="M65" s="14">
        <f t="shared" si="5"/>
        <v>86250</v>
      </c>
      <c r="N65" s="7"/>
      <c r="O65" s="7"/>
      <c r="P65" s="7">
        <f>SUM(L$21:L65)</f>
        <v>455150</v>
      </c>
      <c r="Q65" s="7">
        <f>SUM(M$21:M65)</f>
        <v>817000</v>
      </c>
      <c r="R65" s="7">
        <f>SUM(N$21:N65)</f>
        <v>2820</v>
      </c>
      <c r="S65" s="7">
        <f>SUM(O$21:O65)</f>
        <v>488</v>
      </c>
      <c r="T65" s="21"/>
      <c r="V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outlineLevel="1" x14ac:dyDescent="0.25">
      <c r="A66" s="7"/>
      <c r="B66" s="9" t="s">
        <v>70</v>
      </c>
      <c r="C66" s="7">
        <v>27000</v>
      </c>
      <c r="D66" s="7">
        <v>81000</v>
      </c>
      <c r="E66" s="7"/>
      <c r="F66" s="7"/>
      <c r="G66" s="7">
        <f>SUM(C$21:C66)</f>
        <v>198300</v>
      </c>
      <c r="H66" s="7">
        <f>SUM(D$21:D66)</f>
        <v>594900</v>
      </c>
      <c r="I66" s="7">
        <f>SUM(E$21:E66)</f>
        <v>940</v>
      </c>
      <c r="J66" s="7">
        <f>SUM(F$21:F66)</f>
        <v>162</v>
      </c>
      <c r="K66" s="14"/>
      <c r="L66" s="14">
        <v>67500</v>
      </c>
      <c r="M66" s="14">
        <f t="shared" si="5"/>
        <v>101250</v>
      </c>
      <c r="N66" s="7"/>
      <c r="O66" s="7"/>
      <c r="P66" s="7">
        <f>SUM(L$21:L66)</f>
        <v>522650</v>
      </c>
      <c r="Q66" s="7">
        <f>SUM(M$21:M66)</f>
        <v>918250</v>
      </c>
      <c r="R66" s="7">
        <f>SUM(N$21:N66)</f>
        <v>2820</v>
      </c>
      <c r="S66" s="7">
        <f>SUM(O$21:O66)</f>
        <v>488</v>
      </c>
      <c r="T66" s="21"/>
      <c r="V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outlineLevel="1" x14ac:dyDescent="0.25">
      <c r="A67" s="7"/>
      <c r="B67" s="9" t="s">
        <v>71</v>
      </c>
      <c r="C67" s="7">
        <v>32000</v>
      </c>
      <c r="D67" s="7">
        <v>96000</v>
      </c>
      <c r="E67" s="7"/>
      <c r="F67" s="7"/>
      <c r="G67" s="7">
        <f>SUM(C$21:C67)</f>
        <v>230300</v>
      </c>
      <c r="H67" s="7">
        <f>SUM(D$21:D67)</f>
        <v>690900</v>
      </c>
      <c r="I67" s="7">
        <f>SUM(E$21:E67)</f>
        <v>940</v>
      </c>
      <c r="J67" s="7">
        <f>SUM(F$21:F67)</f>
        <v>162</v>
      </c>
      <c r="K67" s="14"/>
      <c r="L67" s="14">
        <v>80000</v>
      </c>
      <c r="M67" s="14">
        <f t="shared" si="5"/>
        <v>120000</v>
      </c>
      <c r="N67" s="7"/>
      <c r="O67" s="7"/>
      <c r="P67" s="7">
        <f>SUM(L$21:L67)</f>
        <v>602650</v>
      </c>
      <c r="Q67" s="7">
        <f>SUM(M$21:M67)</f>
        <v>1038250</v>
      </c>
      <c r="R67" s="7">
        <f>SUM(N$21:N67)</f>
        <v>2820</v>
      </c>
      <c r="S67" s="7">
        <f>SUM(O$21:O67)</f>
        <v>488</v>
      </c>
      <c r="T67" s="21"/>
      <c r="V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outlineLevel="1" x14ac:dyDescent="0.25">
      <c r="A68" s="7"/>
      <c r="B68" s="9" t="s">
        <v>72</v>
      </c>
      <c r="C68" s="7">
        <v>37000</v>
      </c>
      <c r="D68" s="7">
        <v>111000</v>
      </c>
      <c r="E68" s="7"/>
      <c r="F68" s="7"/>
      <c r="G68" s="7">
        <f>SUM(C$21:C68)</f>
        <v>267300</v>
      </c>
      <c r="H68" s="7">
        <f>SUM(D$21:D68)</f>
        <v>801900</v>
      </c>
      <c r="I68" s="7">
        <f>SUM(E$21:E68)</f>
        <v>940</v>
      </c>
      <c r="J68" s="7">
        <f>SUM(F$21:F68)</f>
        <v>162</v>
      </c>
      <c r="K68" s="14"/>
      <c r="L68" s="14">
        <v>92500</v>
      </c>
      <c r="M68" s="14">
        <f t="shared" si="5"/>
        <v>138750</v>
      </c>
      <c r="N68" s="7"/>
      <c r="O68" s="7"/>
      <c r="P68" s="7">
        <f>SUM(L$21:L68)</f>
        <v>695150</v>
      </c>
      <c r="Q68" s="7">
        <f>SUM(M$21:M68)</f>
        <v>1177000</v>
      </c>
      <c r="R68" s="7">
        <f>SUM(N$21:N68)</f>
        <v>2820</v>
      </c>
      <c r="S68" s="7">
        <f>SUM(O$21:O68)</f>
        <v>488</v>
      </c>
      <c r="T68" s="21"/>
      <c r="V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outlineLevel="1" x14ac:dyDescent="0.25">
      <c r="A69" s="7"/>
      <c r="B69" s="9" t="s">
        <v>73</v>
      </c>
      <c r="C69" s="7">
        <v>44000</v>
      </c>
      <c r="D69" s="7">
        <v>132000</v>
      </c>
      <c r="E69" s="7"/>
      <c r="F69" s="7"/>
      <c r="G69" s="7">
        <f>SUM(C$21:C69)</f>
        <v>311300</v>
      </c>
      <c r="H69" s="7">
        <f>SUM(D$21:D69)</f>
        <v>933900</v>
      </c>
      <c r="I69" s="7">
        <f>SUM(E$21:E69)</f>
        <v>940</v>
      </c>
      <c r="J69" s="7">
        <f>SUM(F$21:F69)</f>
        <v>162</v>
      </c>
      <c r="K69" s="14"/>
      <c r="L69" s="14">
        <v>110000</v>
      </c>
      <c r="M69" s="14">
        <f t="shared" si="5"/>
        <v>165000</v>
      </c>
      <c r="N69" s="7"/>
      <c r="O69" s="7"/>
      <c r="P69" s="7">
        <f>SUM(L$21:L69)</f>
        <v>805150</v>
      </c>
      <c r="Q69" s="7">
        <f>SUM(M$21:M69)</f>
        <v>1342000</v>
      </c>
      <c r="R69" s="7">
        <f>SUM(N$21:N69)</f>
        <v>2820</v>
      </c>
      <c r="S69" s="7">
        <f>SUM(O$21:O69)</f>
        <v>488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x14ac:dyDescent="0.25">
      <c r="A70" s="7"/>
      <c r="B70" s="9" t="s">
        <v>74</v>
      </c>
      <c r="C70" s="7">
        <v>54000</v>
      </c>
      <c r="D70" s="7">
        <v>162000</v>
      </c>
      <c r="E70" s="7"/>
      <c r="F70" s="7"/>
      <c r="G70" s="7">
        <f>SUM(C$21:C70)</f>
        <v>365300</v>
      </c>
      <c r="H70" s="7">
        <f>SUM(D$21:D70)</f>
        <v>1095900</v>
      </c>
      <c r="I70" s="7">
        <f>SUM(E$21:E70)</f>
        <v>940</v>
      </c>
      <c r="J70" s="7">
        <f>SUM(F$21:F70)</f>
        <v>162</v>
      </c>
      <c r="K70" s="7"/>
      <c r="L70" s="14">
        <v>135000</v>
      </c>
      <c r="M70" s="14">
        <f t="shared" si="5"/>
        <v>202500</v>
      </c>
      <c r="N70" s="7"/>
      <c r="O70" s="7"/>
      <c r="P70" s="7">
        <f>SUM(L$21:L70)</f>
        <v>940150</v>
      </c>
      <c r="Q70" s="7">
        <f>SUM(M$21:M70)</f>
        <v>1544500</v>
      </c>
      <c r="R70" s="7">
        <f>SUM(N$21:N70)</f>
        <v>2820</v>
      </c>
      <c r="S70" s="7">
        <f>SUM(O$21:O70)</f>
        <v>488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15.75" thickBot="1" x14ac:dyDescent="0.3">
      <c r="B71" s="9" t="s">
        <v>92</v>
      </c>
      <c r="C71" s="39">
        <f>SUM(C21:C70)</f>
        <v>365300</v>
      </c>
      <c r="D71" s="39">
        <f t="shared" ref="D71:F71" si="6">SUM(D21:D70)</f>
        <v>1095900</v>
      </c>
      <c r="E71" s="39">
        <f t="shared" si="6"/>
        <v>940</v>
      </c>
      <c r="F71" s="39">
        <f t="shared" si="6"/>
        <v>162</v>
      </c>
      <c r="G71" s="7"/>
      <c r="H71" s="7"/>
      <c r="I71" s="7"/>
      <c r="J71" s="7"/>
      <c r="K71" s="7"/>
      <c r="L71" s="39">
        <f t="shared" ref="L71:O71" si="7">SUM(L21:L70)</f>
        <v>940150</v>
      </c>
      <c r="M71" s="39">
        <f t="shared" si="7"/>
        <v>1544500</v>
      </c>
      <c r="N71" s="39">
        <f t="shared" si="7"/>
        <v>2820</v>
      </c>
      <c r="O71" s="39">
        <f t="shared" si="7"/>
        <v>488</v>
      </c>
      <c r="P71" s="7"/>
    </row>
    <row r="72" spans="1:39" ht="15.75" thickTop="1" x14ac:dyDescent="0.25"/>
    <row r="73" spans="1:39" x14ac:dyDescent="0.25">
      <c r="L73" s="40"/>
    </row>
    <row r="74" spans="1:39" x14ac:dyDescent="0.25">
      <c r="R74" s="7"/>
      <c r="S74" s="7"/>
      <c r="T74" s="7"/>
      <c r="U74" s="7"/>
      <c r="V74" s="7"/>
      <c r="W74" s="7"/>
    </row>
  </sheetData>
  <mergeCells count="8">
    <mergeCell ref="C18:J18"/>
    <mergeCell ref="L18:S18"/>
    <mergeCell ref="U18:AA18"/>
    <mergeCell ref="C19:F19"/>
    <mergeCell ref="G19:J19"/>
    <mergeCell ref="L19:O19"/>
    <mergeCell ref="P19:S19"/>
    <mergeCell ref="U19:AA19"/>
  </mergeCells>
  <dataValidations count="4">
    <dataValidation type="list" allowBlank="1" showInputMessage="1" showErrorMessage="1" sqref="C6">
      <formula1>"0%,10%,20%,30%,40%,50%,60%,70%"</formula1>
    </dataValidation>
    <dataValidation type="list" allowBlank="1" showInputMessage="1" showErrorMessage="1" sqref="C5">
      <formula1>$B$22:$B$70</formula1>
    </dataValidation>
    <dataValidation type="list" allowBlank="1" showInputMessage="1" showErrorMessage="1" sqref="C4">
      <formula1>$B$21:$B$69</formula1>
    </dataValidation>
    <dataValidation type="list" allowBlank="1" showInputMessage="1" showErrorMessage="1" sqref="C3">
      <formula1>"BXP,PXP,LXP,ATG,Keeper,My Legend"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 1 0 . 6   ( B u i l d   4 5 2 8 . 2 ) 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 R e p u l l   O p t i m i z e r < / n a m e > < q u e r i e s   x m l n s : d 4 p 1 = " h t t p : / / s c h e m a s . d a t a c o n t r a c t . o r g / 2 0 0 4 / 0 7 / L o n g v i e w . O f f i c e . A d d I n . Q u e r y " / > < / E x c e l W o r k s h e e t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 U p g r a d e   C o s t s 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Props1.xml><?xml version="1.0" encoding="utf-8"?>
<ds:datastoreItem xmlns:ds="http://schemas.openxmlformats.org/officeDocument/2006/customXml" ds:itemID="{85151036-C4D3-47C7-B4FC-FADD11D7572A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Repull Optimizer</vt:lpstr>
      <vt:lpstr>Upgrade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Allen</dc:creator>
  <cp:lastModifiedBy>Jeff Allen</cp:lastModifiedBy>
  <dcterms:created xsi:type="dcterms:W3CDTF">2020-09-04T12:35:27Z</dcterms:created>
  <dcterms:modified xsi:type="dcterms:W3CDTF">2021-01-22T16:14:30Z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Longview.Workbook">
    <vt:lpwstr>{85151036-C4D3-47C7-B4FC-FADD11D7572A}</vt:lpwstr>
  </property>
</Properties>
</file>