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49\OneDrive\STEAMNOW\"/>
    </mc:Choice>
  </mc:AlternateContent>
  <bookViews>
    <workbookView xWindow="0" yWindow="0" windowWidth="19200" windowHeight="7300" tabRatio="765"/>
  </bookViews>
  <sheets>
    <sheet name="Main" sheetId="12" r:id="rId1"/>
    <sheet name="RadCompList" sheetId="4" state="hidden" r:id="rId2"/>
    <sheet name="VentList" sheetId="5" state="hidden" r:id="rId3"/>
    <sheet name="Radiators" sheetId="3" r:id="rId4"/>
    <sheet name="REPORT" sheetId="11" r:id="rId5"/>
    <sheet name="Calculations" sheetId="13" state="hidden" r:id="rId6"/>
    <sheet name="SteamProperties" sheetId="6" state="hidden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1" l="1"/>
  <c r="C13" i="11"/>
  <c r="C16" i="11"/>
  <c r="I2" i="3"/>
  <c r="C15" i="11"/>
  <c r="K4" i="12"/>
  <c r="K5" i="12" s="1"/>
  <c r="K6" i="12"/>
  <c r="K9" i="12"/>
  <c r="M5" i="3"/>
  <c r="K5" i="3"/>
  <c r="M3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2" i="3"/>
  <c r="L3" i="3"/>
  <c r="L5" i="3"/>
  <c r="C20" i="11"/>
  <c r="C19" i="11"/>
  <c r="C18" i="11"/>
  <c r="C17" i="11"/>
  <c r="H2" i="3"/>
  <c r="H4" i="3"/>
  <c r="I4" i="3" s="1"/>
  <c r="H5" i="3"/>
  <c r="I5" i="3" s="1"/>
  <c r="H6" i="3"/>
  <c r="H7" i="3"/>
  <c r="H8" i="3"/>
  <c r="H9" i="3"/>
  <c r="I9" i="3" s="1"/>
  <c r="H10" i="3"/>
  <c r="H11" i="3"/>
  <c r="H12" i="3"/>
  <c r="H13" i="3"/>
  <c r="I13" i="3" s="1"/>
  <c r="H14" i="3"/>
  <c r="I14" i="3" s="1"/>
  <c r="H15" i="3"/>
  <c r="I15" i="3" s="1"/>
  <c r="H16" i="3"/>
  <c r="H17" i="3"/>
  <c r="H18" i="3"/>
  <c r="H19" i="3"/>
  <c r="I19" i="3" s="1"/>
  <c r="H20" i="3"/>
  <c r="I20" i="3" s="1"/>
  <c r="H21" i="3"/>
  <c r="I21" i="3" s="1"/>
  <c r="H22" i="3"/>
  <c r="H23" i="3"/>
  <c r="H24" i="3"/>
  <c r="H25" i="3"/>
  <c r="I25" i="3" s="1"/>
  <c r="H26" i="3"/>
  <c r="I26" i="3" s="1"/>
  <c r="H27" i="3"/>
  <c r="I27" i="3" s="1"/>
  <c r="H28" i="3"/>
  <c r="H29" i="3"/>
  <c r="H30" i="3"/>
  <c r="H31" i="3"/>
  <c r="I31" i="3" s="1"/>
  <c r="H32" i="3"/>
  <c r="I32" i="3" s="1"/>
  <c r="H33" i="3"/>
  <c r="I33" i="3" s="1"/>
  <c r="H34" i="3"/>
  <c r="H35" i="3"/>
  <c r="H36" i="3"/>
  <c r="H37" i="3"/>
  <c r="H38" i="3"/>
  <c r="I38" i="3" s="1"/>
  <c r="H39" i="3"/>
  <c r="I39" i="3" s="1"/>
  <c r="H40" i="3"/>
  <c r="H41" i="3"/>
  <c r="H42" i="3"/>
  <c r="H43" i="3"/>
  <c r="H44" i="3"/>
  <c r="H45" i="3"/>
  <c r="I45" i="3" s="1"/>
  <c r="H46" i="3"/>
  <c r="H47" i="3"/>
  <c r="H48" i="3"/>
  <c r="H49" i="3"/>
  <c r="I49" i="3" s="1"/>
  <c r="H50" i="3"/>
  <c r="I50" i="3" s="1"/>
  <c r="H51" i="3"/>
  <c r="I51" i="3" s="1"/>
  <c r="H52" i="3"/>
  <c r="H53" i="3"/>
  <c r="H54" i="3"/>
  <c r="H55" i="3"/>
  <c r="I55" i="3" s="1"/>
  <c r="H56" i="3"/>
  <c r="I56" i="3" s="1"/>
  <c r="H57" i="3"/>
  <c r="I57" i="3" s="1"/>
  <c r="H58" i="3"/>
  <c r="H59" i="3"/>
  <c r="H60" i="3"/>
  <c r="H61" i="3"/>
  <c r="I61" i="3" s="1"/>
  <c r="H62" i="3"/>
  <c r="I62" i="3" s="1"/>
  <c r="H63" i="3"/>
  <c r="I63" i="3" s="1"/>
  <c r="H64" i="3"/>
  <c r="H65" i="3"/>
  <c r="H66" i="3"/>
  <c r="H67" i="3"/>
  <c r="I67" i="3" s="1"/>
  <c r="H68" i="3"/>
  <c r="I68" i="3" s="1"/>
  <c r="H69" i="3"/>
  <c r="I69" i="3" s="1"/>
  <c r="H70" i="3"/>
  <c r="H71" i="3"/>
  <c r="H72" i="3"/>
  <c r="H73" i="3"/>
  <c r="H74" i="3"/>
  <c r="I74" i="3" s="1"/>
  <c r="H75" i="3"/>
  <c r="I75" i="3" s="1"/>
  <c r="H76" i="3"/>
  <c r="H77" i="3"/>
  <c r="H78" i="3"/>
  <c r="H79" i="3"/>
  <c r="H80" i="3"/>
  <c r="H81" i="3"/>
  <c r="I81" i="3" s="1"/>
  <c r="H82" i="3"/>
  <c r="H83" i="3"/>
  <c r="H84" i="3"/>
  <c r="H85" i="3"/>
  <c r="I85" i="3" s="1"/>
  <c r="H86" i="3"/>
  <c r="I86" i="3" s="1"/>
  <c r="H87" i="3"/>
  <c r="I87" i="3" s="1"/>
  <c r="H88" i="3"/>
  <c r="H89" i="3"/>
  <c r="H90" i="3"/>
  <c r="H91" i="3"/>
  <c r="I91" i="3" s="1"/>
  <c r="H92" i="3"/>
  <c r="I92" i="3" s="1"/>
  <c r="H93" i="3"/>
  <c r="I93" i="3" s="1"/>
  <c r="H94" i="3"/>
  <c r="H95" i="3"/>
  <c r="H96" i="3"/>
  <c r="H97" i="3"/>
  <c r="I97" i="3" s="1"/>
  <c r="H98" i="3"/>
  <c r="I98" i="3" s="1"/>
  <c r="H99" i="3"/>
  <c r="I99" i="3" s="1"/>
  <c r="H100" i="3"/>
  <c r="H101" i="3"/>
  <c r="H102" i="3"/>
  <c r="H103" i="3"/>
  <c r="I103" i="3" s="1"/>
  <c r="H104" i="3"/>
  <c r="I104" i="3" s="1"/>
  <c r="H105" i="3"/>
  <c r="I105" i="3" s="1"/>
  <c r="H106" i="3"/>
  <c r="H107" i="3"/>
  <c r="H108" i="3"/>
  <c r="H109" i="3"/>
  <c r="H110" i="3"/>
  <c r="I110" i="3" s="1"/>
  <c r="H111" i="3"/>
  <c r="I111" i="3" s="1"/>
  <c r="H112" i="3"/>
  <c r="H113" i="3"/>
  <c r="H114" i="3"/>
  <c r="H115" i="3"/>
  <c r="H116" i="3"/>
  <c r="H117" i="3"/>
  <c r="I117" i="3" s="1"/>
  <c r="H118" i="3"/>
  <c r="H119" i="3"/>
  <c r="H120" i="3"/>
  <c r="H121" i="3"/>
  <c r="I121" i="3" s="1"/>
  <c r="H122" i="3"/>
  <c r="I122" i="3" s="1"/>
  <c r="H123" i="3"/>
  <c r="I123" i="3" s="1"/>
  <c r="H124" i="3"/>
  <c r="H125" i="3"/>
  <c r="H126" i="3"/>
  <c r="H127" i="3"/>
  <c r="I127" i="3" s="1"/>
  <c r="H128" i="3"/>
  <c r="I128" i="3" s="1"/>
  <c r="H129" i="3"/>
  <c r="I129" i="3" s="1"/>
  <c r="H130" i="3"/>
  <c r="H131" i="3"/>
  <c r="H132" i="3"/>
  <c r="H133" i="3"/>
  <c r="I133" i="3" s="1"/>
  <c r="H134" i="3"/>
  <c r="I134" i="3" s="1"/>
  <c r="H135" i="3"/>
  <c r="I135" i="3" s="1"/>
  <c r="H136" i="3"/>
  <c r="H137" i="3"/>
  <c r="H138" i="3"/>
  <c r="H139" i="3"/>
  <c r="I139" i="3" s="1"/>
  <c r="H140" i="3"/>
  <c r="I140" i="3" s="1"/>
  <c r="H141" i="3"/>
  <c r="I141" i="3" s="1"/>
  <c r="H142" i="3"/>
  <c r="H143" i="3"/>
  <c r="H144" i="3"/>
  <c r="H145" i="3"/>
  <c r="H146" i="3"/>
  <c r="I146" i="3" s="1"/>
  <c r="H147" i="3"/>
  <c r="I147" i="3" s="1"/>
  <c r="H148" i="3"/>
  <c r="H149" i="3"/>
  <c r="H150" i="3"/>
  <c r="H151" i="3"/>
  <c r="H152" i="3"/>
  <c r="H153" i="3"/>
  <c r="I153" i="3" s="1"/>
  <c r="H154" i="3"/>
  <c r="H155" i="3"/>
  <c r="H156" i="3"/>
  <c r="H157" i="3"/>
  <c r="I157" i="3" s="1"/>
  <c r="H158" i="3"/>
  <c r="I158" i="3" s="1"/>
  <c r="H159" i="3"/>
  <c r="I159" i="3" s="1"/>
  <c r="H160" i="3"/>
  <c r="H161" i="3"/>
  <c r="H162" i="3"/>
  <c r="H163" i="3"/>
  <c r="I163" i="3" s="1"/>
  <c r="H164" i="3"/>
  <c r="I164" i="3" s="1"/>
  <c r="H165" i="3"/>
  <c r="I165" i="3" s="1"/>
  <c r="H166" i="3"/>
  <c r="H167" i="3"/>
  <c r="H168" i="3"/>
  <c r="H169" i="3"/>
  <c r="I169" i="3" s="1"/>
  <c r="H170" i="3"/>
  <c r="I170" i="3" s="1"/>
  <c r="H171" i="3"/>
  <c r="I171" i="3" s="1"/>
  <c r="H172" i="3"/>
  <c r="H173" i="3"/>
  <c r="H174" i="3"/>
  <c r="H175" i="3"/>
  <c r="I175" i="3" s="1"/>
  <c r="H176" i="3"/>
  <c r="I176" i="3" s="1"/>
  <c r="H177" i="3"/>
  <c r="I177" i="3" s="1"/>
  <c r="H178" i="3"/>
  <c r="H179" i="3"/>
  <c r="H180" i="3"/>
  <c r="H181" i="3"/>
  <c r="H182" i="3"/>
  <c r="I182" i="3" s="1"/>
  <c r="H183" i="3"/>
  <c r="I183" i="3" s="1"/>
  <c r="H184" i="3"/>
  <c r="H185" i="3"/>
  <c r="H186" i="3"/>
  <c r="H187" i="3"/>
  <c r="H188" i="3"/>
  <c r="H189" i="3"/>
  <c r="I189" i="3" s="1"/>
  <c r="H190" i="3"/>
  <c r="H191" i="3"/>
  <c r="H192" i="3"/>
  <c r="H193" i="3"/>
  <c r="I193" i="3" s="1"/>
  <c r="H194" i="3"/>
  <c r="I194" i="3" s="1"/>
  <c r="H195" i="3"/>
  <c r="I195" i="3" s="1"/>
  <c r="H196" i="3"/>
  <c r="H197" i="3"/>
  <c r="H198" i="3"/>
  <c r="H199" i="3"/>
  <c r="I199" i="3" s="1"/>
  <c r="H200" i="3"/>
  <c r="I200" i="3" s="1"/>
  <c r="H201" i="3"/>
  <c r="I201" i="3" s="1"/>
  <c r="H202" i="3"/>
  <c r="H203" i="3"/>
  <c r="H204" i="3"/>
  <c r="H205" i="3"/>
  <c r="I205" i="3" s="1"/>
  <c r="H206" i="3"/>
  <c r="I206" i="3" s="1"/>
  <c r="H207" i="3"/>
  <c r="I207" i="3" s="1"/>
  <c r="H208" i="3"/>
  <c r="H209" i="3"/>
  <c r="H210" i="3"/>
  <c r="H211" i="3"/>
  <c r="I211" i="3" s="1"/>
  <c r="H212" i="3"/>
  <c r="I212" i="3" s="1"/>
  <c r="H213" i="3"/>
  <c r="I213" i="3" s="1"/>
  <c r="H214" i="3"/>
  <c r="H215" i="3"/>
  <c r="H216" i="3"/>
  <c r="H217" i="3"/>
  <c r="H218" i="3"/>
  <c r="I218" i="3" s="1"/>
  <c r="H219" i="3"/>
  <c r="I219" i="3" s="1"/>
  <c r="H220" i="3"/>
  <c r="H221" i="3"/>
  <c r="H222" i="3"/>
  <c r="H223" i="3"/>
  <c r="H224" i="3"/>
  <c r="H225" i="3"/>
  <c r="I225" i="3" s="1"/>
  <c r="H226" i="3"/>
  <c r="H227" i="3"/>
  <c r="H228" i="3"/>
  <c r="H229" i="3"/>
  <c r="I229" i="3" s="1"/>
  <c r="H230" i="3"/>
  <c r="I230" i="3" s="1"/>
  <c r="H231" i="3"/>
  <c r="I231" i="3" s="1"/>
  <c r="H232" i="3"/>
  <c r="H233" i="3"/>
  <c r="H234" i="3"/>
  <c r="H235" i="3"/>
  <c r="I235" i="3" s="1"/>
  <c r="H236" i="3"/>
  <c r="I236" i="3" s="1"/>
  <c r="H237" i="3"/>
  <c r="I237" i="3" s="1"/>
  <c r="H238" i="3"/>
  <c r="H239" i="3"/>
  <c r="H240" i="3"/>
  <c r="H241" i="3"/>
  <c r="I241" i="3" s="1"/>
  <c r="H242" i="3"/>
  <c r="I242" i="3" s="1"/>
  <c r="H243" i="3"/>
  <c r="I243" i="3" s="1"/>
  <c r="H244" i="3"/>
  <c r="I244" i="3" s="1"/>
  <c r="H245" i="3"/>
  <c r="H246" i="3"/>
  <c r="H247" i="3"/>
  <c r="H248" i="3"/>
  <c r="I248" i="3" s="1"/>
  <c r="H249" i="3"/>
  <c r="I249" i="3" s="1"/>
  <c r="H250" i="3"/>
  <c r="I250" i="3" s="1"/>
  <c r="H251" i="3"/>
  <c r="H252" i="3"/>
  <c r="H253" i="3"/>
  <c r="I253" i="3" s="1"/>
  <c r="H254" i="3"/>
  <c r="I254" i="3" s="1"/>
  <c r="H255" i="3"/>
  <c r="I255" i="3" s="1"/>
  <c r="H256" i="3"/>
  <c r="I256" i="3" s="1"/>
  <c r="H257" i="3"/>
  <c r="H258" i="3"/>
  <c r="H259" i="3"/>
  <c r="I259" i="3" s="1"/>
  <c r="H260" i="3"/>
  <c r="I260" i="3" s="1"/>
  <c r="H261" i="3"/>
  <c r="I261" i="3" s="1"/>
  <c r="H262" i="3"/>
  <c r="I262" i="3" s="1"/>
  <c r="H263" i="3"/>
  <c r="H264" i="3"/>
  <c r="H265" i="3"/>
  <c r="H266" i="3"/>
  <c r="I266" i="3" s="1"/>
  <c r="H267" i="3"/>
  <c r="I267" i="3" s="1"/>
  <c r="H268" i="3"/>
  <c r="I268" i="3" s="1"/>
  <c r="H269" i="3"/>
  <c r="H270" i="3"/>
  <c r="H271" i="3"/>
  <c r="I271" i="3" s="1"/>
  <c r="H272" i="3"/>
  <c r="I272" i="3" s="1"/>
  <c r="H273" i="3"/>
  <c r="I273" i="3" s="1"/>
  <c r="H274" i="3"/>
  <c r="I274" i="3" s="1"/>
  <c r="H275" i="3"/>
  <c r="H276" i="3"/>
  <c r="H277" i="3"/>
  <c r="I277" i="3" s="1"/>
  <c r="H278" i="3"/>
  <c r="I278" i="3" s="1"/>
  <c r="H279" i="3"/>
  <c r="I279" i="3" s="1"/>
  <c r="H280" i="3"/>
  <c r="I280" i="3" s="1"/>
  <c r="H281" i="3"/>
  <c r="H282" i="3"/>
  <c r="H283" i="3"/>
  <c r="H284" i="3"/>
  <c r="I284" i="3" s="1"/>
  <c r="H285" i="3"/>
  <c r="I285" i="3" s="1"/>
  <c r="H286" i="3"/>
  <c r="I286" i="3" s="1"/>
  <c r="H287" i="3"/>
  <c r="H288" i="3"/>
  <c r="H289" i="3"/>
  <c r="I289" i="3" s="1"/>
  <c r="H290" i="3"/>
  <c r="I290" i="3" s="1"/>
  <c r="H291" i="3"/>
  <c r="I291" i="3" s="1"/>
  <c r="H292" i="3"/>
  <c r="I292" i="3" s="1"/>
  <c r="H293" i="3"/>
  <c r="H294" i="3"/>
  <c r="H295" i="3"/>
  <c r="I295" i="3" s="1"/>
  <c r="H296" i="3"/>
  <c r="I296" i="3" s="1"/>
  <c r="H297" i="3"/>
  <c r="I297" i="3" s="1"/>
  <c r="H298" i="3"/>
  <c r="I298" i="3" s="1"/>
  <c r="H299" i="3"/>
  <c r="H300" i="3"/>
  <c r="H301" i="3"/>
  <c r="H302" i="3"/>
  <c r="I302" i="3" s="1"/>
  <c r="H303" i="3"/>
  <c r="I303" i="3" s="1"/>
  <c r="H304" i="3"/>
  <c r="I304" i="3" s="1"/>
  <c r="H305" i="3"/>
  <c r="H306" i="3"/>
  <c r="H307" i="3"/>
  <c r="I307" i="3" s="1"/>
  <c r="H308" i="3"/>
  <c r="I308" i="3" s="1"/>
  <c r="H309" i="3"/>
  <c r="I309" i="3" s="1"/>
  <c r="H310" i="3"/>
  <c r="I310" i="3" s="1"/>
  <c r="H311" i="3"/>
  <c r="H312" i="3"/>
  <c r="H313" i="3"/>
  <c r="I313" i="3" s="1"/>
  <c r="H314" i="3"/>
  <c r="I314" i="3" s="1"/>
  <c r="H315" i="3"/>
  <c r="I315" i="3" s="1"/>
  <c r="H316" i="3"/>
  <c r="I316" i="3" s="1"/>
  <c r="H317" i="3"/>
  <c r="H318" i="3"/>
  <c r="H319" i="3"/>
  <c r="H320" i="3"/>
  <c r="I320" i="3" s="1"/>
  <c r="H321" i="3"/>
  <c r="I321" i="3" s="1"/>
  <c r="H322" i="3"/>
  <c r="I322" i="3" s="1"/>
  <c r="H323" i="3"/>
  <c r="H324" i="3"/>
  <c r="H325" i="3"/>
  <c r="I325" i="3" s="1"/>
  <c r="H326" i="3"/>
  <c r="I326" i="3" s="1"/>
  <c r="H327" i="3"/>
  <c r="I327" i="3" s="1"/>
  <c r="H328" i="3"/>
  <c r="I328" i="3" s="1"/>
  <c r="H329" i="3"/>
  <c r="H330" i="3"/>
  <c r="H331" i="3"/>
  <c r="I331" i="3" s="1"/>
  <c r="H332" i="3"/>
  <c r="I332" i="3" s="1"/>
  <c r="H333" i="3"/>
  <c r="I333" i="3" s="1"/>
  <c r="H334" i="3"/>
  <c r="I334" i="3" s="1"/>
  <c r="H335" i="3"/>
  <c r="H336" i="3"/>
  <c r="H337" i="3"/>
  <c r="H338" i="3"/>
  <c r="I338" i="3" s="1"/>
  <c r="H339" i="3"/>
  <c r="I339" i="3" s="1"/>
  <c r="H340" i="3"/>
  <c r="I340" i="3" s="1"/>
  <c r="H341" i="3"/>
  <c r="H342" i="3"/>
  <c r="H343" i="3"/>
  <c r="I343" i="3" s="1"/>
  <c r="H344" i="3"/>
  <c r="I344" i="3" s="1"/>
  <c r="H345" i="3"/>
  <c r="I345" i="3" s="1"/>
  <c r="H346" i="3"/>
  <c r="I346" i="3" s="1"/>
  <c r="H347" i="3"/>
  <c r="H348" i="3"/>
  <c r="H349" i="3"/>
  <c r="I349" i="3" s="1"/>
  <c r="H350" i="3"/>
  <c r="I350" i="3" s="1"/>
  <c r="H351" i="3"/>
  <c r="I351" i="3" s="1"/>
  <c r="H352" i="3"/>
  <c r="I352" i="3" s="1"/>
  <c r="H353" i="3"/>
  <c r="H354" i="3"/>
  <c r="H355" i="3"/>
  <c r="H356" i="3"/>
  <c r="I356" i="3" s="1"/>
  <c r="H357" i="3"/>
  <c r="I357" i="3" s="1"/>
  <c r="H358" i="3"/>
  <c r="I358" i="3" s="1"/>
  <c r="H359" i="3"/>
  <c r="H360" i="3"/>
  <c r="H361" i="3"/>
  <c r="I361" i="3" s="1"/>
  <c r="H362" i="3"/>
  <c r="I362" i="3" s="1"/>
  <c r="H363" i="3"/>
  <c r="I363" i="3" s="1"/>
  <c r="H364" i="3"/>
  <c r="I364" i="3" s="1"/>
  <c r="H365" i="3"/>
  <c r="H366" i="3"/>
  <c r="H367" i="3"/>
  <c r="I367" i="3" s="1"/>
  <c r="H368" i="3"/>
  <c r="I368" i="3" s="1"/>
  <c r="H369" i="3"/>
  <c r="I369" i="3" s="1"/>
  <c r="H370" i="3"/>
  <c r="I370" i="3" s="1"/>
  <c r="H371" i="3"/>
  <c r="H372" i="3"/>
  <c r="H373" i="3"/>
  <c r="H374" i="3"/>
  <c r="I374" i="3" s="1"/>
  <c r="H375" i="3"/>
  <c r="I375" i="3" s="1"/>
  <c r="H376" i="3"/>
  <c r="I376" i="3" s="1"/>
  <c r="H377" i="3"/>
  <c r="H378" i="3"/>
  <c r="H379" i="3"/>
  <c r="I379" i="3" s="1"/>
  <c r="H380" i="3"/>
  <c r="I380" i="3" s="1"/>
  <c r="H381" i="3"/>
  <c r="I381" i="3" s="1"/>
  <c r="H382" i="3"/>
  <c r="I382" i="3" s="1"/>
  <c r="H383" i="3"/>
  <c r="H384" i="3"/>
  <c r="H385" i="3"/>
  <c r="I385" i="3" s="1"/>
  <c r="H386" i="3"/>
  <c r="I386" i="3" s="1"/>
  <c r="H387" i="3"/>
  <c r="I387" i="3" s="1"/>
  <c r="H388" i="3"/>
  <c r="I388" i="3" s="1"/>
  <c r="H389" i="3"/>
  <c r="H390" i="3"/>
  <c r="H391" i="3"/>
  <c r="H392" i="3"/>
  <c r="I392" i="3" s="1"/>
  <c r="H393" i="3"/>
  <c r="I393" i="3" s="1"/>
  <c r="H394" i="3"/>
  <c r="I394" i="3" s="1"/>
  <c r="H395" i="3"/>
  <c r="H396" i="3"/>
  <c r="H397" i="3"/>
  <c r="I397" i="3" s="1"/>
  <c r="H398" i="3"/>
  <c r="I398" i="3" s="1"/>
  <c r="H399" i="3"/>
  <c r="I399" i="3" s="1"/>
  <c r="H400" i="3"/>
  <c r="I400" i="3" s="1"/>
  <c r="I6" i="3"/>
  <c r="I7" i="3"/>
  <c r="I8" i="3"/>
  <c r="I10" i="3"/>
  <c r="I11" i="3"/>
  <c r="I12" i="3"/>
  <c r="I16" i="3"/>
  <c r="I17" i="3"/>
  <c r="I18" i="3"/>
  <c r="I22" i="3"/>
  <c r="I23" i="3"/>
  <c r="I24" i="3"/>
  <c r="I28" i="3"/>
  <c r="I29" i="3"/>
  <c r="I30" i="3"/>
  <c r="I34" i="3"/>
  <c r="I35" i="3"/>
  <c r="I36" i="3"/>
  <c r="I37" i="3"/>
  <c r="I40" i="3"/>
  <c r="I41" i="3"/>
  <c r="I42" i="3"/>
  <c r="I43" i="3"/>
  <c r="I44" i="3"/>
  <c r="I46" i="3"/>
  <c r="I47" i="3"/>
  <c r="I48" i="3"/>
  <c r="I52" i="3"/>
  <c r="I53" i="3"/>
  <c r="I54" i="3"/>
  <c r="I58" i="3"/>
  <c r="I59" i="3"/>
  <c r="I60" i="3"/>
  <c r="I64" i="3"/>
  <c r="I65" i="3"/>
  <c r="I66" i="3"/>
  <c r="I70" i="3"/>
  <c r="I71" i="3"/>
  <c r="I72" i="3"/>
  <c r="I73" i="3"/>
  <c r="I76" i="3"/>
  <c r="I77" i="3"/>
  <c r="I78" i="3"/>
  <c r="I79" i="3"/>
  <c r="I80" i="3"/>
  <c r="I82" i="3"/>
  <c r="I83" i="3"/>
  <c r="I84" i="3"/>
  <c r="I88" i="3"/>
  <c r="I89" i="3"/>
  <c r="I90" i="3"/>
  <c r="I94" i="3"/>
  <c r="I95" i="3"/>
  <c r="I96" i="3"/>
  <c r="I100" i="3"/>
  <c r="I101" i="3"/>
  <c r="I102" i="3"/>
  <c r="I106" i="3"/>
  <c r="I107" i="3"/>
  <c r="I108" i="3"/>
  <c r="I109" i="3"/>
  <c r="I112" i="3"/>
  <c r="I113" i="3"/>
  <c r="I114" i="3"/>
  <c r="I115" i="3"/>
  <c r="I116" i="3"/>
  <c r="I118" i="3"/>
  <c r="I119" i="3"/>
  <c r="I120" i="3"/>
  <c r="I124" i="3"/>
  <c r="I125" i="3"/>
  <c r="I126" i="3"/>
  <c r="I130" i="3"/>
  <c r="I131" i="3"/>
  <c r="I132" i="3"/>
  <c r="I136" i="3"/>
  <c r="I137" i="3"/>
  <c r="I138" i="3"/>
  <c r="I142" i="3"/>
  <c r="I143" i="3"/>
  <c r="I144" i="3"/>
  <c r="I145" i="3"/>
  <c r="I148" i="3"/>
  <c r="I149" i="3"/>
  <c r="I150" i="3"/>
  <c r="I151" i="3"/>
  <c r="I152" i="3"/>
  <c r="I154" i="3"/>
  <c r="I155" i="3"/>
  <c r="I156" i="3"/>
  <c r="I160" i="3"/>
  <c r="I161" i="3"/>
  <c r="I162" i="3"/>
  <c r="I166" i="3"/>
  <c r="I167" i="3"/>
  <c r="I168" i="3"/>
  <c r="I172" i="3"/>
  <c r="I173" i="3"/>
  <c r="I174" i="3"/>
  <c r="I178" i="3"/>
  <c r="I179" i="3"/>
  <c r="I180" i="3"/>
  <c r="I181" i="3"/>
  <c r="I184" i="3"/>
  <c r="I185" i="3"/>
  <c r="I186" i="3"/>
  <c r="I187" i="3"/>
  <c r="I188" i="3"/>
  <c r="I190" i="3"/>
  <c r="I191" i="3"/>
  <c r="I192" i="3"/>
  <c r="I196" i="3"/>
  <c r="I197" i="3"/>
  <c r="I198" i="3"/>
  <c r="I202" i="3"/>
  <c r="I203" i="3"/>
  <c r="I204" i="3"/>
  <c r="I208" i="3"/>
  <c r="I209" i="3"/>
  <c r="I210" i="3"/>
  <c r="I214" i="3"/>
  <c r="I215" i="3"/>
  <c r="I216" i="3"/>
  <c r="I217" i="3"/>
  <c r="I220" i="3"/>
  <c r="I221" i="3"/>
  <c r="I222" i="3"/>
  <c r="I223" i="3"/>
  <c r="I224" i="3"/>
  <c r="I226" i="3"/>
  <c r="I227" i="3"/>
  <c r="I228" i="3"/>
  <c r="I232" i="3"/>
  <c r="I233" i="3"/>
  <c r="I234" i="3"/>
  <c r="I238" i="3"/>
  <c r="I239" i="3"/>
  <c r="I240" i="3"/>
  <c r="I245" i="3"/>
  <c r="I246" i="3"/>
  <c r="I247" i="3"/>
  <c r="I251" i="3"/>
  <c r="I252" i="3"/>
  <c r="I257" i="3"/>
  <c r="I258" i="3"/>
  <c r="I263" i="3"/>
  <c r="I264" i="3"/>
  <c r="I265" i="3"/>
  <c r="I269" i="3"/>
  <c r="I270" i="3"/>
  <c r="I275" i="3"/>
  <c r="I276" i="3"/>
  <c r="I281" i="3"/>
  <c r="I282" i="3"/>
  <c r="I283" i="3"/>
  <c r="I287" i="3"/>
  <c r="I288" i="3"/>
  <c r="I293" i="3"/>
  <c r="I294" i="3"/>
  <c r="I299" i="3"/>
  <c r="I300" i="3"/>
  <c r="I301" i="3"/>
  <c r="I305" i="3"/>
  <c r="I306" i="3"/>
  <c r="I311" i="3"/>
  <c r="I312" i="3"/>
  <c r="I317" i="3"/>
  <c r="I318" i="3"/>
  <c r="I319" i="3"/>
  <c r="I323" i="3"/>
  <c r="I324" i="3"/>
  <c r="I329" i="3"/>
  <c r="I330" i="3"/>
  <c r="I335" i="3"/>
  <c r="I336" i="3"/>
  <c r="I337" i="3"/>
  <c r="I341" i="3"/>
  <c r="I342" i="3"/>
  <c r="I347" i="3"/>
  <c r="I348" i="3"/>
  <c r="I353" i="3"/>
  <c r="I354" i="3"/>
  <c r="I355" i="3"/>
  <c r="I359" i="3"/>
  <c r="I360" i="3"/>
  <c r="I365" i="3"/>
  <c r="I366" i="3"/>
  <c r="I371" i="3"/>
  <c r="I372" i="3"/>
  <c r="I373" i="3"/>
  <c r="I377" i="3"/>
  <c r="I378" i="3"/>
  <c r="I383" i="3"/>
  <c r="I384" i="3"/>
  <c r="I389" i="3"/>
  <c r="I390" i="3"/>
  <c r="I391" i="3"/>
  <c r="I395" i="3"/>
  <c r="I396" i="3"/>
  <c r="H3" i="3"/>
  <c r="E35" i="4"/>
  <c r="C34" i="4"/>
  <c r="D35" i="4"/>
  <c r="E34" i="4"/>
  <c r="L4" i="3" l="1"/>
  <c r="C14" i="11"/>
  <c r="J4" i="3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70" i="4"/>
  <c r="D71" i="4"/>
  <c r="D72" i="4"/>
  <c r="D73" i="4"/>
  <c r="D74" i="4"/>
  <c r="D75" i="4"/>
  <c r="D76" i="4"/>
  <c r="D77" i="4"/>
  <c r="D78" i="4"/>
  <c r="D39" i="4"/>
  <c r="H2" i="4"/>
  <c r="C9" i="12" l="1"/>
  <c r="F6" i="11" s="1"/>
  <c r="K2" i="12"/>
  <c r="C20" i="12"/>
  <c r="F5" i="11"/>
  <c r="C9" i="11"/>
  <c r="C8" i="11"/>
  <c r="J3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2" i="3"/>
  <c r="P26" i="3"/>
  <c r="I3" i="3"/>
  <c r="Q3" i="3" s="1"/>
  <c r="Q4" i="3"/>
  <c r="P5" i="3"/>
  <c r="Q8" i="3"/>
  <c r="Q9" i="3"/>
  <c r="P11" i="3"/>
  <c r="Q13" i="3"/>
  <c r="Q15" i="3"/>
  <c r="P16" i="3"/>
  <c r="Q17" i="3"/>
  <c r="Q18" i="3"/>
  <c r="Q20" i="3"/>
  <c r="Q21" i="3"/>
  <c r="Q22" i="3"/>
  <c r="P23" i="3"/>
  <c r="Q25" i="3"/>
  <c r="Q26" i="3"/>
  <c r="Q27" i="3"/>
  <c r="Q28" i="3"/>
  <c r="Q30" i="3"/>
  <c r="P31" i="3"/>
  <c r="Q32" i="3"/>
  <c r="Q33" i="3"/>
  <c r="Q35" i="3"/>
  <c r="P37" i="3"/>
  <c r="Q37" i="3"/>
  <c r="P40" i="3"/>
  <c r="Q42" i="3"/>
  <c r="Q43" i="3"/>
  <c r="Q44" i="3"/>
  <c r="Q46" i="3"/>
  <c r="Q47" i="3"/>
  <c r="Q48" i="3"/>
  <c r="Q50" i="3"/>
  <c r="Q51" i="3"/>
  <c r="Q53" i="3"/>
  <c r="Q54" i="3"/>
  <c r="P55" i="3"/>
  <c r="Q57" i="3"/>
  <c r="Q58" i="3"/>
  <c r="P59" i="3"/>
  <c r="Q63" i="3"/>
  <c r="P64" i="3"/>
  <c r="Q66" i="3"/>
  <c r="Q67" i="3"/>
  <c r="P68" i="3"/>
  <c r="Q69" i="3"/>
  <c r="P71" i="3"/>
  <c r="Q72" i="3"/>
  <c r="Q74" i="3"/>
  <c r="Q75" i="3"/>
  <c r="Q76" i="3"/>
  <c r="Q77" i="3"/>
  <c r="Q80" i="3"/>
  <c r="Q81" i="3"/>
  <c r="P82" i="3"/>
  <c r="Q88" i="3"/>
  <c r="Q90" i="3"/>
  <c r="Q91" i="3"/>
  <c r="Q95" i="3"/>
  <c r="Q96" i="3"/>
  <c r="P97" i="3"/>
  <c r="Q98" i="3"/>
  <c r="P101" i="3"/>
  <c r="Q104" i="3"/>
  <c r="Q105" i="3"/>
  <c r="P106" i="3"/>
  <c r="Q109" i="3"/>
  <c r="P112" i="3"/>
  <c r="Q114" i="3"/>
  <c r="P115" i="3"/>
  <c r="Q118" i="3"/>
  <c r="Q119" i="3"/>
  <c r="Q120" i="3"/>
  <c r="Q121" i="3"/>
  <c r="Q122" i="3"/>
  <c r="Q123" i="3"/>
  <c r="Q124" i="3"/>
  <c r="Q125" i="3"/>
  <c r="Q128" i="3"/>
  <c r="P131" i="3"/>
  <c r="Q134" i="3"/>
  <c r="Q135" i="3"/>
  <c r="Q136" i="3"/>
  <c r="Q139" i="3"/>
  <c r="Q140" i="3"/>
  <c r="Q141" i="3"/>
  <c r="Q142" i="3"/>
  <c r="Q144" i="3"/>
  <c r="P145" i="3"/>
  <c r="Q146" i="3"/>
  <c r="Q147" i="3"/>
  <c r="Q148" i="3"/>
  <c r="Q154" i="3"/>
  <c r="Q158" i="3"/>
  <c r="Q169" i="3"/>
  <c r="Q170" i="3"/>
  <c r="Q171" i="3"/>
  <c r="Q172" i="3"/>
  <c r="P173" i="3"/>
  <c r="Q174" i="3"/>
  <c r="Q175" i="3"/>
  <c r="Q176" i="3"/>
  <c r="Q177" i="3"/>
  <c r="Q178" i="3"/>
  <c r="Q180" i="3"/>
  <c r="Q183" i="3"/>
  <c r="Q184" i="3"/>
  <c r="P185" i="3"/>
  <c r="Q188" i="3"/>
  <c r="Q189" i="3"/>
  <c r="Q191" i="3"/>
  <c r="P194" i="3"/>
  <c r="P199" i="3"/>
  <c r="Q200" i="3"/>
  <c r="P203" i="3"/>
  <c r="P205" i="3"/>
  <c r="Q206" i="3"/>
  <c r="Q207" i="3"/>
  <c r="Q208" i="3"/>
  <c r="Q210" i="3"/>
  <c r="Q212" i="3"/>
  <c r="Q214" i="3"/>
  <c r="Q215" i="3"/>
  <c r="Q219" i="3"/>
  <c r="Q220" i="3"/>
  <c r="Q221" i="3"/>
  <c r="P223" i="3"/>
  <c r="Q224" i="3"/>
  <c r="Q225" i="3"/>
  <c r="Q226" i="3"/>
  <c r="P227" i="3"/>
  <c r="Q230" i="3"/>
  <c r="Q232" i="3"/>
  <c r="P235" i="3"/>
  <c r="Q236" i="3"/>
  <c r="Q238" i="3"/>
  <c r="Q240" i="3"/>
  <c r="Q241" i="3"/>
  <c r="Q242" i="3"/>
  <c r="Q243" i="3"/>
  <c r="Q244" i="3"/>
  <c r="Q245" i="3"/>
  <c r="Q246" i="3"/>
  <c r="Q249" i="3"/>
  <c r="Q250" i="3"/>
  <c r="Q251" i="3"/>
  <c r="Q252" i="3"/>
  <c r="Q254" i="3"/>
  <c r="Q255" i="3"/>
  <c r="Q256" i="3"/>
  <c r="Q257" i="3"/>
  <c r="P259" i="3"/>
  <c r="Q261" i="3"/>
  <c r="Q262" i="3"/>
  <c r="P263" i="3"/>
  <c r="Q265" i="3"/>
  <c r="Q266" i="3"/>
  <c r="Q267" i="3"/>
  <c r="P268" i="3"/>
  <c r="Q270" i="3"/>
  <c r="Q271" i="3"/>
  <c r="Q272" i="3"/>
  <c r="Q273" i="3"/>
  <c r="Q274" i="3"/>
  <c r="Q275" i="3"/>
  <c r="Q276" i="3"/>
  <c r="P277" i="3"/>
  <c r="Q277" i="3"/>
  <c r="Q278" i="3"/>
  <c r="Q279" i="3"/>
  <c r="Q280" i="3"/>
  <c r="Q281" i="3"/>
  <c r="Q284" i="3"/>
  <c r="Q285" i="3"/>
  <c r="P286" i="3"/>
  <c r="Q290" i="3"/>
  <c r="Q292" i="3"/>
  <c r="P293" i="3"/>
  <c r="Q293" i="3"/>
  <c r="Q295" i="3"/>
  <c r="P296" i="3"/>
  <c r="Q297" i="3"/>
  <c r="Q298" i="3"/>
  <c r="Q300" i="3"/>
  <c r="P301" i="3"/>
  <c r="Q302" i="3"/>
  <c r="Q303" i="3"/>
  <c r="Q304" i="3"/>
  <c r="P305" i="3"/>
  <c r="Q308" i="3"/>
  <c r="Q309" i="3"/>
  <c r="P314" i="3"/>
  <c r="Q315" i="3"/>
  <c r="P316" i="3"/>
  <c r="Q318" i="3"/>
  <c r="Q319" i="3"/>
  <c r="Q320" i="3"/>
  <c r="Q323" i="3"/>
  <c r="Q324" i="3"/>
  <c r="P325" i="3"/>
  <c r="Q327" i="3"/>
  <c r="Q328" i="3"/>
  <c r="P329" i="3"/>
  <c r="Q329" i="3"/>
  <c r="Q332" i="3"/>
  <c r="P334" i="3"/>
  <c r="Q334" i="3"/>
  <c r="P337" i="3"/>
  <c r="Q339" i="3"/>
  <c r="Q340" i="3"/>
  <c r="Q342" i="3"/>
  <c r="P343" i="3"/>
  <c r="Q344" i="3"/>
  <c r="Q345" i="3"/>
  <c r="Q346" i="3"/>
  <c r="P347" i="3"/>
  <c r="Q350" i="3"/>
  <c r="Q351" i="3"/>
  <c r="Q352" i="3"/>
  <c r="Q356" i="3"/>
  <c r="Q357" i="3"/>
  <c r="Q358" i="3"/>
  <c r="P359" i="3"/>
  <c r="Q362" i="3"/>
  <c r="Q363" i="3"/>
  <c r="Q364" i="3"/>
  <c r="Q368" i="3"/>
  <c r="Q370" i="3"/>
  <c r="Q375" i="3"/>
  <c r="P376" i="3"/>
  <c r="P380" i="3"/>
  <c r="Q381" i="3"/>
  <c r="Q382" i="3"/>
  <c r="Q386" i="3"/>
  <c r="Q387" i="3"/>
  <c r="P391" i="3"/>
  <c r="Q392" i="3"/>
  <c r="Q393" i="3"/>
  <c r="Q394" i="3"/>
  <c r="P395" i="3"/>
  <c r="P397" i="3"/>
  <c r="Q398" i="3"/>
  <c r="Q399" i="3"/>
  <c r="P400" i="3"/>
  <c r="D15" i="13"/>
  <c r="D14" i="13"/>
  <c r="D13" i="13"/>
  <c r="D12" i="13"/>
  <c r="D11" i="13"/>
  <c r="D10" i="13"/>
  <c r="D9" i="13"/>
  <c r="D8" i="13"/>
  <c r="D7" i="13"/>
  <c r="D6" i="13"/>
  <c r="D5" i="13"/>
  <c r="D4" i="13"/>
  <c r="C7" i="12"/>
  <c r="C6" i="12"/>
  <c r="C8" i="12" s="1"/>
  <c r="Q376" i="3" l="1"/>
  <c r="Q325" i="3"/>
  <c r="Q314" i="3"/>
  <c r="Q286" i="3"/>
  <c r="Q31" i="3"/>
  <c r="P104" i="3"/>
  <c r="C21" i="12"/>
  <c r="P81" i="3"/>
  <c r="P76" i="3"/>
  <c r="P302" i="3"/>
  <c r="P20" i="3"/>
  <c r="Q397" i="3"/>
  <c r="Q82" i="3"/>
  <c r="P140" i="3"/>
  <c r="P382" i="3"/>
  <c r="P220" i="3"/>
  <c r="Q268" i="3"/>
  <c r="Q263" i="3"/>
  <c r="Q199" i="3"/>
  <c r="Q194" i="3"/>
  <c r="P370" i="3"/>
  <c r="P154" i="3"/>
  <c r="P74" i="3"/>
  <c r="P249" i="3"/>
  <c r="P226" i="3"/>
  <c r="Q337" i="3"/>
  <c r="Q203" i="3"/>
  <c r="Q23" i="3"/>
  <c r="P142" i="3"/>
  <c r="P50" i="3"/>
  <c r="P46" i="3"/>
  <c r="P368" i="3"/>
  <c r="P214" i="3"/>
  <c r="Q391" i="3"/>
  <c r="Q380" i="3"/>
  <c r="Q359" i="3"/>
  <c r="Q316" i="3"/>
  <c r="Q301" i="3"/>
  <c r="Q296" i="3"/>
  <c r="Q145" i="3"/>
  <c r="Q112" i="3"/>
  <c r="Q97" i="3"/>
  <c r="Q64" i="3"/>
  <c r="Q59" i="3"/>
  <c r="P332" i="3"/>
  <c r="P266" i="3"/>
  <c r="P212" i="3"/>
  <c r="P122" i="3"/>
  <c r="P63" i="3"/>
  <c r="P290" i="3"/>
  <c r="P350" i="3"/>
  <c r="P285" i="3"/>
  <c r="P124" i="3"/>
  <c r="Q400" i="3"/>
  <c r="Q305" i="3"/>
  <c r="Q235" i="3"/>
  <c r="Q173" i="3"/>
  <c r="Q106" i="3"/>
  <c r="Q101" i="3"/>
  <c r="Q68" i="3"/>
  <c r="P327" i="3"/>
  <c r="P250" i="3"/>
  <c r="P176" i="3"/>
  <c r="P118" i="3"/>
  <c r="P58" i="3"/>
  <c r="Q333" i="3"/>
  <c r="P333" i="3"/>
  <c r="P181" i="3"/>
  <c r="Q181" i="3"/>
  <c r="Q164" i="3"/>
  <c r="P164" i="3"/>
  <c r="Q152" i="3"/>
  <c r="P152" i="3"/>
  <c r="Q110" i="3"/>
  <c r="P110" i="3"/>
  <c r="Q100" i="3"/>
  <c r="P100" i="3"/>
  <c r="P89" i="3"/>
  <c r="Q89" i="3"/>
  <c r="Q62" i="3"/>
  <c r="P62" i="3"/>
  <c r="Q45" i="3"/>
  <c r="P45" i="3"/>
  <c r="Q39" i="3"/>
  <c r="P39" i="3"/>
  <c r="Q34" i="3"/>
  <c r="P34" i="3"/>
  <c r="P170" i="3"/>
  <c r="Q322" i="3"/>
  <c r="P322" i="3"/>
  <c r="Q260" i="3"/>
  <c r="P260" i="3"/>
  <c r="Q248" i="3"/>
  <c r="P248" i="3"/>
  <c r="Q231" i="3"/>
  <c r="P231" i="3"/>
  <c r="Q213" i="3"/>
  <c r="P213" i="3"/>
  <c r="Q202" i="3"/>
  <c r="P202" i="3"/>
  <c r="Q94" i="3"/>
  <c r="P94" i="3"/>
  <c r="Q56" i="3"/>
  <c r="P56" i="3"/>
  <c r="Q38" i="3"/>
  <c r="P38" i="3"/>
  <c r="P381" i="3"/>
  <c r="P328" i="3"/>
  <c r="P158" i="3"/>
  <c r="Q326" i="3"/>
  <c r="P326" i="3"/>
  <c r="Q321" i="3"/>
  <c r="P321" i="3"/>
  <c r="Q291" i="3"/>
  <c r="P291" i="3"/>
  <c r="Q218" i="3"/>
  <c r="P218" i="3"/>
  <c r="Q201" i="3"/>
  <c r="P201" i="3"/>
  <c r="Q196" i="3"/>
  <c r="P196" i="3"/>
  <c r="Q93" i="3"/>
  <c r="P93" i="3"/>
  <c r="Q87" i="3"/>
  <c r="P87" i="3"/>
  <c r="Q70" i="3"/>
  <c r="P70" i="3"/>
  <c r="Q10" i="3"/>
  <c r="P10" i="3"/>
  <c r="P230" i="3"/>
  <c r="P206" i="3"/>
  <c r="P105" i="3"/>
  <c r="P379" i="3"/>
  <c r="Q379" i="3"/>
  <c r="Q374" i="3"/>
  <c r="P374" i="3"/>
  <c r="Q369" i="3"/>
  <c r="P369" i="3"/>
  <c r="Q310" i="3"/>
  <c r="P310" i="3"/>
  <c r="Q195" i="3"/>
  <c r="P195" i="3"/>
  <c r="Q190" i="3"/>
  <c r="P190" i="3"/>
  <c r="P149" i="3"/>
  <c r="Q149" i="3"/>
  <c r="Q117" i="3"/>
  <c r="P117" i="3"/>
  <c r="Q92" i="3"/>
  <c r="P92" i="3"/>
  <c r="Q86" i="3"/>
  <c r="P86" i="3"/>
  <c r="P320" i="3"/>
  <c r="P280" i="3"/>
  <c r="P200" i="3"/>
  <c r="P22" i="3"/>
  <c r="P383" i="3"/>
  <c r="Q383" i="3"/>
  <c r="Q166" i="3"/>
  <c r="P166" i="3"/>
  <c r="Q160" i="3"/>
  <c r="P160" i="3"/>
  <c r="Q116" i="3"/>
  <c r="P116" i="3"/>
  <c r="P225" i="3"/>
  <c r="P98" i="3"/>
  <c r="P21" i="3"/>
  <c r="P388" i="3"/>
  <c r="Q388" i="3"/>
  <c r="Q338" i="3"/>
  <c r="P338" i="3"/>
  <c r="Q165" i="3"/>
  <c r="P165" i="3"/>
  <c r="Q159" i="3"/>
  <c r="P159" i="3"/>
  <c r="Q153" i="3"/>
  <c r="P153" i="3"/>
  <c r="Q131" i="3"/>
  <c r="Q115" i="3"/>
  <c r="Q111" i="3"/>
  <c r="P111" i="3"/>
  <c r="P19" i="3"/>
  <c r="Q19" i="3"/>
  <c r="P386" i="3"/>
  <c r="P346" i="3"/>
  <c r="P309" i="3"/>
  <c r="P254" i="3"/>
  <c r="P171" i="3"/>
  <c r="P57" i="3"/>
  <c r="Q182" i="3"/>
  <c r="P182" i="3"/>
  <c r="Q130" i="3"/>
  <c r="P130" i="3"/>
  <c r="Q99" i="3"/>
  <c r="P99" i="3"/>
  <c r="P262" i="3"/>
  <c r="P238" i="3"/>
  <c r="P135" i="3"/>
  <c r="P9" i="3"/>
  <c r="Q237" i="3"/>
  <c r="P237" i="3"/>
  <c r="Q129" i="3"/>
  <c r="P129" i="3"/>
  <c r="Q52" i="3"/>
  <c r="P52" i="3"/>
  <c r="Q14" i="3"/>
  <c r="P14" i="3"/>
  <c r="P261" i="3"/>
  <c r="P134" i="3"/>
  <c r="Q282" i="3"/>
  <c r="P282" i="3"/>
  <c r="Q193" i="3"/>
  <c r="P193" i="3"/>
  <c r="Q161" i="3"/>
  <c r="P161" i="3"/>
  <c r="Q84" i="3"/>
  <c r="P84" i="3"/>
  <c r="P189" i="3"/>
  <c r="P177" i="3"/>
  <c r="P141" i="3"/>
  <c r="P69" i="3"/>
  <c r="P33" i="3"/>
  <c r="Q389" i="3"/>
  <c r="P389" i="3"/>
  <c r="Q367" i="3"/>
  <c r="P367" i="3"/>
  <c r="Q288" i="3"/>
  <c r="P288" i="3"/>
  <c r="Q247" i="3"/>
  <c r="P247" i="3"/>
  <c r="Q222" i="3"/>
  <c r="P222" i="3"/>
  <c r="Q204" i="3"/>
  <c r="P204" i="3"/>
  <c r="Q168" i="3"/>
  <c r="P168" i="3"/>
  <c r="Q163" i="3"/>
  <c r="P163" i="3"/>
  <c r="Q157" i="3"/>
  <c r="P157" i="3"/>
  <c r="Q151" i="3"/>
  <c r="P151" i="3"/>
  <c r="Q49" i="3"/>
  <c r="P49" i="3"/>
  <c r="P29" i="3"/>
  <c r="Q29" i="3"/>
  <c r="P398" i="3"/>
  <c r="P362" i="3"/>
  <c r="P278" i="3"/>
  <c r="P242" i="3"/>
  <c r="P146" i="3"/>
  <c r="P2" i="3"/>
  <c r="Q384" i="3"/>
  <c r="P384" i="3"/>
  <c r="Q366" i="3"/>
  <c r="P366" i="3"/>
  <c r="Q361" i="3"/>
  <c r="P361" i="3"/>
  <c r="P341" i="3"/>
  <c r="Q341" i="3"/>
  <c r="Q336" i="3"/>
  <c r="P336" i="3"/>
  <c r="Q331" i="3"/>
  <c r="P331" i="3"/>
  <c r="Q317" i="3"/>
  <c r="P317" i="3"/>
  <c r="Q313" i="3"/>
  <c r="P313" i="3"/>
  <c r="Q307" i="3"/>
  <c r="P307" i="3"/>
  <c r="Q287" i="3"/>
  <c r="P287" i="3"/>
  <c r="Q283" i="3"/>
  <c r="P283" i="3"/>
  <c r="Q258" i="3"/>
  <c r="P258" i="3"/>
  <c r="P209" i="3"/>
  <c r="Q209" i="3"/>
  <c r="Q167" i="3"/>
  <c r="P167" i="3"/>
  <c r="Q162" i="3"/>
  <c r="P162" i="3"/>
  <c r="Q156" i="3"/>
  <c r="P156" i="3"/>
  <c r="Q150" i="3"/>
  <c r="P150" i="3"/>
  <c r="Q85" i="3"/>
  <c r="P85" i="3"/>
  <c r="P394" i="3"/>
  <c r="P358" i="3"/>
  <c r="P298" i="3"/>
  <c r="P274" i="3"/>
  <c r="P178" i="3"/>
  <c r="Q365" i="3"/>
  <c r="P365" i="3"/>
  <c r="Q360" i="3"/>
  <c r="P360" i="3"/>
  <c r="Q335" i="3"/>
  <c r="P335" i="3"/>
  <c r="Q330" i="3"/>
  <c r="P330" i="3"/>
  <c r="Q312" i="3"/>
  <c r="P312" i="3"/>
  <c r="Q306" i="3"/>
  <c r="P306" i="3"/>
  <c r="Q198" i="3"/>
  <c r="P198" i="3"/>
  <c r="Q187" i="3"/>
  <c r="P187" i="3"/>
  <c r="Q155" i="3"/>
  <c r="P155" i="3"/>
  <c r="Q113" i="3"/>
  <c r="P113" i="3"/>
  <c r="Q108" i="3"/>
  <c r="P108" i="3"/>
  <c r="Q103" i="3"/>
  <c r="P103" i="3"/>
  <c r="Q79" i="3"/>
  <c r="P79" i="3"/>
  <c r="Q73" i="3"/>
  <c r="P73" i="3"/>
  <c r="P393" i="3"/>
  <c r="P357" i="3"/>
  <c r="P345" i="3"/>
  <c r="P297" i="3"/>
  <c r="P273" i="3"/>
  <c r="Q396" i="3"/>
  <c r="P396" i="3"/>
  <c r="Q355" i="3"/>
  <c r="P355" i="3"/>
  <c r="Q349" i="3"/>
  <c r="P349" i="3"/>
  <c r="Q311" i="3"/>
  <c r="P311" i="3"/>
  <c r="Q239" i="3"/>
  <c r="P239" i="3"/>
  <c r="Q234" i="3"/>
  <c r="P234" i="3"/>
  <c r="Q229" i="3"/>
  <c r="P229" i="3"/>
  <c r="Q197" i="3"/>
  <c r="P197" i="3"/>
  <c r="Q186" i="3"/>
  <c r="P186" i="3"/>
  <c r="Q133" i="3"/>
  <c r="P133" i="3"/>
  <c r="Q102" i="3"/>
  <c r="P102" i="3"/>
  <c r="Q83" i="3"/>
  <c r="P83" i="3"/>
  <c r="Q12" i="3"/>
  <c r="P12" i="3"/>
  <c r="P392" i="3"/>
  <c r="P308" i="3"/>
  <c r="P284" i="3"/>
  <c r="P236" i="3"/>
  <c r="P188" i="3"/>
  <c r="Q395" i="3"/>
  <c r="Q378" i="3"/>
  <c r="P378" i="3"/>
  <c r="Q373" i="3"/>
  <c r="P373" i="3"/>
  <c r="Q354" i="3"/>
  <c r="P354" i="3"/>
  <c r="Q348" i="3"/>
  <c r="P348" i="3"/>
  <c r="Q343" i="3"/>
  <c r="Q233" i="3"/>
  <c r="P233" i="3"/>
  <c r="Q228" i="3"/>
  <c r="P228" i="3"/>
  <c r="Q223" i="3"/>
  <c r="Q143" i="3"/>
  <c r="P143" i="3"/>
  <c r="Q138" i="3"/>
  <c r="P138" i="3"/>
  <c r="Q132" i="3"/>
  <c r="P132" i="3"/>
  <c r="Q127" i="3"/>
  <c r="P127" i="3"/>
  <c r="Q61" i="3"/>
  <c r="P61" i="3"/>
  <c r="Q40" i="3"/>
  <c r="Q36" i="3"/>
  <c r="P36" i="3"/>
  <c r="Q16" i="3"/>
  <c r="Q11" i="3"/>
  <c r="Q6" i="3"/>
  <c r="P6" i="3"/>
  <c r="P364" i="3"/>
  <c r="P352" i="3"/>
  <c r="P340" i="3"/>
  <c r="P304" i="3"/>
  <c r="P292" i="3"/>
  <c r="P256" i="3"/>
  <c r="P244" i="3"/>
  <c r="P232" i="3"/>
  <c r="P208" i="3"/>
  <c r="P184" i="3"/>
  <c r="P172" i="3"/>
  <c r="P148" i="3"/>
  <c r="P136" i="3"/>
  <c r="P88" i="3"/>
  <c r="P28" i="3"/>
  <c r="P4" i="3"/>
  <c r="Q385" i="3"/>
  <c r="P385" i="3"/>
  <c r="Q371" i="3"/>
  <c r="P371" i="3"/>
  <c r="Q253" i="3"/>
  <c r="P253" i="3"/>
  <c r="Q216" i="3"/>
  <c r="P216" i="3"/>
  <c r="Q192" i="3"/>
  <c r="P192" i="3"/>
  <c r="Q107" i="3"/>
  <c r="P107" i="3"/>
  <c r="Q78" i="3"/>
  <c r="P78" i="3"/>
  <c r="P41" i="3"/>
  <c r="Q41" i="3"/>
  <c r="Q7" i="3"/>
  <c r="P7" i="3"/>
  <c r="P356" i="3"/>
  <c r="P344" i="3"/>
  <c r="P272" i="3"/>
  <c r="P224" i="3"/>
  <c r="P128" i="3"/>
  <c r="P80" i="3"/>
  <c r="P44" i="3"/>
  <c r="P32" i="3"/>
  <c r="P8" i="3"/>
  <c r="Q390" i="3"/>
  <c r="P390" i="3"/>
  <c r="Q377" i="3"/>
  <c r="P377" i="3"/>
  <c r="Q372" i="3"/>
  <c r="P372" i="3"/>
  <c r="Q353" i="3"/>
  <c r="P353" i="3"/>
  <c r="Q347" i="3"/>
  <c r="Q299" i="3"/>
  <c r="P299" i="3"/>
  <c r="Q294" i="3"/>
  <c r="P294" i="3"/>
  <c r="Q289" i="3"/>
  <c r="P289" i="3"/>
  <c r="Q269" i="3"/>
  <c r="P269" i="3"/>
  <c r="Q264" i="3"/>
  <c r="P264" i="3"/>
  <c r="Q259" i="3"/>
  <c r="Q227" i="3"/>
  <c r="Q217" i="3"/>
  <c r="P217" i="3"/>
  <c r="Q211" i="3"/>
  <c r="P211" i="3"/>
  <c r="Q179" i="3"/>
  <c r="P179" i="3"/>
  <c r="Q137" i="3"/>
  <c r="P137" i="3"/>
  <c r="Q126" i="3"/>
  <c r="P126" i="3"/>
  <c r="Q65" i="3"/>
  <c r="P65" i="3"/>
  <c r="Q60" i="3"/>
  <c r="P60" i="3"/>
  <c r="Q55" i="3"/>
  <c r="Q24" i="3"/>
  <c r="P24" i="3"/>
  <c r="P399" i="3"/>
  <c r="P387" i="3"/>
  <c r="P375" i="3"/>
  <c r="P363" i="3"/>
  <c r="P351" i="3"/>
  <c r="P339" i="3"/>
  <c r="P315" i="3"/>
  <c r="P303" i="3"/>
  <c r="P279" i="3"/>
  <c r="P267" i="3"/>
  <c r="P255" i="3"/>
  <c r="P243" i="3"/>
  <c r="P219" i="3"/>
  <c r="P207" i="3"/>
  <c r="P183" i="3"/>
  <c r="P147" i="3"/>
  <c r="P123" i="3"/>
  <c r="P75" i="3"/>
  <c r="P51" i="3"/>
  <c r="P27" i="3"/>
  <c r="P15" i="3"/>
  <c r="P3" i="3"/>
  <c r="Q205" i="3"/>
  <c r="Q185" i="3"/>
  <c r="Q5" i="3"/>
  <c r="P319" i="3"/>
  <c r="P295" i="3"/>
  <c r="P271" i="3"/>
  <c r="P265" i="3"/>
  <c r="P241" i="3"/>
  <c r="P175" i="3"/>
  <c r="P169" i="3"/>
  <c r="P139" i="3"/>
  <c r="P121" i="3"/>
  <c r="P109" i="3"/>
  <c r="P91" i="3"/>
  <c r="P67" i="3"/>
  <c r="P43" i="3"/>
  <c r="P25" i="3"/>
  <c r="P13" i="3"/>
  <c r="Q71" i="3"/>
  <c r="P342" i="3"/>
  <c r="P324" i="3"/>
  <c r="P318" i="3"/>
  <c r="P300" i="3"/>
  <c r="P276" i="3"/>
  <c r="P270" i="3"/>
  <c r="P252" i="3"/>
  <c r="P246" i="3"/>
  <c r="P240" i="3"/>
  <c r="P210" i="3"/>
  <c r="P180" i="3"/>
  <c r="P174" i="3"/>
  <c r="P144" i="3"/>
  <c r="P120" i="3"/>
  <c r="P114" i="3"/>
  <c r="P96" i="3"/>
  <c r="P90" i="3"/>
  <c r="P72" i="3"/>
  <c r="P66" i="3"/>
  <c r="P54" i="3"/>
  <c r="P48" i="3"/>
  <c r="P42" i="3"/>
  <c r="P30" i="3"/>
  <c r="P18" i="3"/>
  <c r="P323" i="3"/>
  <c r="P281" i="3"/>
  <c r="P275" i="3"/>
  <c r="P257" i="3"/>
  <c r="P251" i="3"/>
  <c r="P245" i="3"/>
  <c r="P221" i="3"/>
  <c r="P215" i="3"/>
  <c r="P191" i="3"/>
  <c r="P125" i="3"/>
  <c r="P119" i="3"/>
  <c r="P95" i="3"/>
  <c r="P77" i="3"/>
  <c r="P53" i="3"/>
  <c r="P47" i="3"/>
  <c r="P35" i="3"/>
  <c r="P17" i="3"/>
  <c r="G8" i="12"/>
  <c r="G7" i="12"/>
  <c r="G6" i="12"/>
  <c r="H31" i="6"/>
  <c r="Q2" i="3" l="1"/>
  <c r="C19" i="12" s="1"/>
  <c r="N2" i="3"/>
  <c r="C16" i="12"/>
  <c r="O357" i="3"/>
  <c r="O333" i="3"/>
  <c r="O315" i="3"/>
  <c r="O279" i="3"/>
  <c r="O261" i="3"/>
  <c r="O249" i="3"/>
  <c r="O243" i="3"/>
  <c r="O231" i="3"/>
  <c r="O207" i="3"/>
  <c r="O189" i="3"/>
  <c r="O171" i="3"/>
  <c r="O159" i="3"/>
  <c r="O153" i="3"/>
  <c r="O141" i="3"/>
  <c r="O123" i="3"/>
  <c r="O99" i="3"/>
  <c r="O81" i="3"/>
  <c r="O69" i="3"/>
  <c r="O63" i="3"/>
  <c r="O51" i="3"/>
  <c r="O45" i="3"/>
  <c r="O33" i="3"/>
  <c r="O27" i="3"/>
  <c r="O15" i="3"/>
  <c r="O374" i="3"/>
  <c r="O326" i="3"/>
  <c r="O284" i="3"/>
  <c r="O272" i="3"/>
  <c r="O218" i="3"/>
  <c r="O80" i="3"/>
  <c r="O399" i="3"/>
  <c r="O225" i="3"/>
  <c r="O213" i="3"/>
  <c r="O195" i="3"/>
  <c r="O177" i="3"/>
  <c r="O135" i="3"/>
  <c r="O117" i="3"/>
  <c r="O105" i="3"/>
  <c r="O87" i="3"/>
  <c r="O9" i="3"/>
  <c r="O392" i="3"/>
  <c r="O350" i="3"/>
  <c r="O338" i="3"/>
  <c r="O296" i="3"/>
  <c r="O230" i="3"/>
  <c r="O188" i="3"/>
  <c r="O388" i="3"/>
  <c r="O334" i="3"/>
  <c r="O280" i="3"/>
  <c r="O268" i="3"/>
  <c r="O244" i="3"/>
  <c r="O238" i="3"/>
  <c r="O220" i="3"/>
  <c r="O208" i="3"/>
  <c r="O196" i="3"/>
  <c r="O184" i="3"/>
  <c r="O172" i="3"/>
  <c r="O166" i="3"/>
  <c r="O160" i="3"/>
  <c r="O136" i="3"/>
  <c r="O130" i="3"/>
  <c r="O118" i="3"/>
  <c r="O106" i="3"/>
  <c r="O100" i="3"/>
  <c r="O76" i="3"/>
  <c r="O64" i="3"/>
  <c r="O58" i="3"/>
  <c r="O46" i="3"/>
  <c r="O40" i="3"/>
  <c r="O34" i="3"/>
  <c r="O22" i="3"/>
  <c r="O10" i="3"/>
  <c r="O4" i="3"/>
  <c r="O384" i="3"/>
  <c r="O372" i="3"/>
  <c r="O366" i="3"/>
  <c r="O354" i="3"/>
  <c r="O395" i="3"/>
  <c r="O383" i="3"/>
  <c r="O371" i="3"/>
  <c r="O365" i="3"/>
  <c r="O347" i="3"/>
  <c r="O341" i="3"/>
  <c r="O323" i="3"/>
  <c r="O311" i="3"/>
  <c r="O305" i="3"/>
  <c r="O293" i="3"/>
  <c r="O287" i="3"/>
  <c r="O269" i="3"/>
  <c r="O257" i="3"/>
  <c r="O251" i="3"/>
  <c r="O239" i="3"/>
  <c r="O215" i="3"/>
  <c r="O203" i="3"/>
  <c r="O197" i="3"/>
  <c r="O179" i="3"/>
  <c r="O143" i="3"/>
  <c r="O131" i="3"/>
  <c r="O107" i="3"/>
  <c r="O89" i="3"/>
  <c r="O77" i="3"/>
  <c r="O41" i="3"/>
  <c r="O35" i="3"/>
  <c r="O23" i="3"/>
  <c r="O235" i="3"/>
  <c r="O2" i="3"/>
  <c r="K2" i="3"/>
  <c r="O192" i="3"/>
  <c r="O154" i="3"/>
  <c r="O112" i="3"/>
  <c r="O28" i="3"/>
  <c r="O328" i="3"/>
  <c r="O400" i="3"/>
  <c r="O292" i="3"/>
  <c r="O226" i="3"/>
  <c r="O185" i="3"/>
  <c r="O126" i="3"/>
  <c r="O96" i="3"/>
  <c r="O53" i="3"/>
  <c r="O382" i="3"/>
  <c r="O274" i="3"/>
  <c r="O221" i="3"/>
  <c r="O169" i="3"/>
  <c r="O125" i="3"/>
  <c r="O94" i="3"/>
  <c r="O52" i="3"/>
  <c r="O71" i="3"/>
  <c r="O310" i="3"/>
  <c r="O234" i="3"/>
  <c r="O190" i="3"/>
  <c r="O149" i="3"/>
  <c r="O70" i="3"/>
  <c r="O364" i="3"/>
  <c r="O262" i="3"/>
  <c r="O205" i="3"/>
  <c r="O162" i="3"/>
  <c r="O124" i="3"/>
  <c r="O88" i="3"/>
  <c r="O36" i="3"/>
  <c r="O346" i="3"/>
  <c r="O256" i="3"/>
  <c r="O198" i="3"/>
  <c r="O156" i="3"/>
  <c r="O113" i="3"/>
  <c r="O78" i="3"/>
  <c r="O381" i="3"/>
  <c r="O309" i="3"/>
  <c r="O394" i="3"/>
  <c r="O376" i="3"/>
  <c r="O358" i="3"/>
  <c r="O340" i="3"/>
  <c r="O322" i="3"/>
  <c r="O304" i="3"/>
  <c r="O286" i="3"/>
  <c r="O250" i="3"/>
  <c r="O233" i="3"/>
  <c r="O161" i="3"/>
  <c r="O148" i="3"/>
  <c r="O86" i="3"/>
  <c r="O62" i="3"/>
  <c r="O44" i="3"/>
  <c r="O26" i="3"/>
  <c r="O393" i="3"/>
  <c r="O375" i="3"/>
  <c r="O339" i="3"/>
  <c r="O321" i="3"/>
  <c r="O303" i="3"/>
  <c r="O285" i="3"/>
  <c r="O267" i="3"/>
  <c r="O248" i="3"/>
  <c r="O232" i="3"/>
  <c r="O214" i="3"/>
  <c r="O178" i="3"/>
  <c r="O142" i="3"/>
  <c r="O120" i="3"/>
  <c r="O103" i="3"/>
  <c r="O79" i="3"/>
  <c r="O60" i="3"/>
  <c r="O43" i="3"/>
  <c r="O19" i="3"/>
  <c r="O363" i="3"/>
  <c r="O291" i="3"/>
  <c r="O8" i="3"/>
  <c r="O370" i="3"/>
  <c r="O352" i="3"/>
  <c r="O316" i="3"/>
  <c r="O298" i="3"/>
  <c r="O242" i="3"/>
  <c r="O228" i="3"/>
  <c r="O212" i="3"/>
  <c r="O176" i="3"/>
  <c r="O140" i="3"/>
  <c r="O119" i="3"/>
  <c r="O59" i="3"/>
  <c r="O17" i="3"/>
  <c r="O345" i="3"/>
  <c r="O327" i="3"/>
  <c r="O273" i="3"/>
  <c r="O255" i="3"/>
  <c r="O387" i="3"/>
  <c r="O369" i="3"/>
  <c r="O351" i="3"/>
  <c r="O297" i="3"/>
  <c r="O241" i="3"/>
  <c r="O227" i="3"/>
  <c r="O206" i="3"/>
  <c r="O191" i="3"/>
  <c r="O170" i="3"/>
  <c r="O155" i="3"/>
  <c r="O127" i="3"/>
  <c r="O95" i="3"/>
  <c r="O16" i="3"/>
  <c r="O398" i="3"/>
  <c r="O386" i="3"/>
  <c r="O380" i="3"/>
  <c r="O368" i="3"/>
  <c r="O362" i="3"/>
  <c r="O356" i="3"/>
  <c r="O344" i="3"/>
  <c r="O332" i="3"/>
  <c r="O320" i="3"/>
  <c r="O314" i="3"/>
  <c r="O308" i="3"/>
  <c r="O302" i="3"/>
  <c r="O290" i="3"/>
  <c r="O278" i="3"/>
  <c r="O266" i="3"/>
  <c r="O260" i="3"/>
  <c r="O254" i="3"/>
  <c r="O236" i="3"/>
  <c r="O224" i="3"/>
  <c r="O200" i="3"/>
  <c r="O194" i="3"/>
  <c r="O182" i="3"/>
  <c r="O164" i="3"/>
  <c r="O158" i="3"/>
  <c r="O152" i="3"/>
  <c r="O146" i="3"/>
  <c r="O128" i="3"/>
  <c r="O122" i="3"/>
  <c r="O116" i="3"/>
  <c r="O110" i="3"/>
  <c r="O104" i="3"/>
  <c r="O98" i="3"/>
  <c r="O92" i="3"/>
  <c r="O74" i="3"/>
  <c r="O68" i="3"/>
  <c r="O56" i="3"/>
  <c r="O50" i="3"/>
  <c r="O38" i="3"/>
  <c r="O32" i="3"/>
  <c r="O20" i="3"/>
  <c r="O14" i="3"/>
  <c r="O199" i="3"/>
  <c r="O134" i="3"/>
  <c r="O397" i="3"/>
  <c r="O391" i="3"/>
  <c r="O385" i="3"/>
  <c r="O379" i="3"/>
  <c r="O373" i="3"/>
  <c r="O367" i="3"/>
  <c r="O361" i="3"/>
  <c r="O355" i="3"/>
  <c r="O349" i="3"/>
  <c r="O343" i="3"/>
  <c r="O337" i="3"/>
  <c r="O331" i="3"/>
  <c r="O325" i="3"/>
  <c r="O319" i="3"/>
  <c r="O313" i="3"/>
  <c r="O307" i="3"/>
  <c r="O301" i="3"/>
  <c r="O295" i="3"/>
  <c r="O289" i="3"/>
  <c r="O283" i="3"/>
  <c r="O277" i="3"/>
  <c r="O271" i="3"/>
  <c r="O265" i="3"/>
  <c r="O259" i="3"/>
  <c r="O253" i="3"/>
  <c r="O247" i="3"/>
  <c r="O229" i="3"/>
  <c r="O223" i="3"/>
  <c r="O217" i="3"/>
  <c r="O211" i="3"/>
  <c r="O193" i="3"/>
  <c r="O187" i="3"/>
  <c r="O181" i="3"/>
  <c r="O175" i="3"/>
  <c r="O157" i="3"/>
  <c r="O151" i="3"/>
  <c r="O145" i="3"/>
  <c r="O139" i="3"/>
  <c r="O121" i="3"/>
  <c r="O115" i="3"/>
  <c r="O109" i="3"/>
  <c r="O97" i="3"/>
  <c r="O91" i="3"/>
  <c r="O85" i="3"/>
  <c r="O73" i="3"/>
  <c r="O67" i="3"/>
  <c r="O61" i="3"/>
  <c r="O55" i="3"/>
  <c r="O49" i="3"/>
  <c r="O37" i="3"/>
  <c r="O31" i="3"/>
  <c r="O25" i="3"/>
  <c r="O13" i="3"/>
  <c r="O7" i="3"/>
  <c r="O163" i="3"/>
  <c r="O133" i="3"/>
  <c r="O54" i="3"/>
  <c r="O18" i="3"/>
  <c r="O240" i="3"/>
  <c r="O168" i="3"/>
  <c r="O102" i="3"/>
  <c r="O24" i="3"/>
  <c r="O210" i="3"/>
  <c r="O101" i="3"/>
  <c r="O84" i="3"/>
  <c r="O66" i="3"/>
  <c r="O6" i="3"/>
  <c r="O396" i="3"/>
  <c r="O390" i="3"/>
  <c r="O378" i="3"/>
  <c r="O360" i="3"/>
  <c r="O348" i="3"/>
  <c r="O342" i="3"/>
  <c r="O336" i="3"/>
  <c r="O330" i="3"/>
  <c r="O324" i="3"/>
  <c r="O318" i="3"/>
  <c r="O312" i="3"/>
  <c r="O306" i="3"/>
  <c r="O300" i="3"/>
  <c r="O294" i="3"/>
  <c r="O288" i="3"/>
  <c r="O282" i="3"/>
  <c r="O276" i="3"/>
  <c r="O270" i="3"/>
  <c r="O264" i="3"/>
  <c r="O258" i="3"/>
  <c r="O252" i="3"/>
  <c r="O245" i="3"/>
  <c r="O216" i="3"/>
  <c r="O209" i="3"/>
  <c r="O202" i="3"/>
  <c r="O180" i="3"/>
  <c r="O173" i="3"/>
  <c r="O144" i="3"/>
  <c r="O137" i="3"/>
  <c r="O108" i="3"/>
  <c r="O82" i="3"/>
  <c r="O65" i="3"/>
  <c r="O48" i="3"/>
  <c r="O30" i="3"/>
  <c r="O5" i="3"/>
  <c r="O90" i="3"/>
  <c r="O204" i="3"/>
  <c r="O132" i="3"/>
  <c r="O42" i="3"/>
  <c r="O83" i="3"/>
  <c r="O47" i="3"/>
  <c r="O11" i="3"/>
  <c r="O246" i="3"/>
  <c r="O174" i="3"/>
  <c r="O167" i="3"/>
  <c r="O138" i="3"/>
  <c r="O237" i="3"/>
  <c r="O219" i="3"/>
  <c r="O201" i="3"/>
  <c r="O183" i="3"/>
  <c r="O165" i="3"/>
  <c r="O147" i="3"/>
  <c r="O129" i="3"/>
  <c r="O111" i="3"/>
  <c r="O93" i="3"/>
  <c r="O75" i="3"/>
  <c r="O57" i="3"/>
  <c r="O39" i="3"/>
  <c r="O21" i="3"/>
  <c r="O3" i="3"/>
  <c r="O389" i="3"/>
  <c r="O377" i="3"/>
  <c r="O359" i="3"/>
  <c r="O353" i="3"/>
  <c r="O335" i="3"/>
  <c r="O329" i="3"/>
  <c r="O317" i="3"/>
  <c r="O299" i="3"/>
  <c r="O281" i="3"/>
  <c r="O275" i="3"/>
  <c r="O263" i="3"/>
  <c r="O222" i="3"/>
  <c r="O186" i="3"/>
  <c r="O150" i="3"/>
  <c r="O114" i="3"/>
  <c r="O72" i="3"/>
  <c r="O29" i="3"/>
  <c r="O12" i="3"/>
  <c r="N4" i="3"/>
  <c r="M4" i="3" s="1"/>
  <c r="N5" i="3"/>
  <c r="N7" i="3"/>
  <c r="N8" i="3"/>
  <c r="N9" i="3"/>
  <c r="K10" i="3"/>
  <c r="N11" i="3"/>
  <c r="K13" i="3"/>
  <c r="N14" i="3"/>
  <c r="N15" i="3"/>
  <c r="K16" i="3"/>
  <c r="N17" i="3"/>
  <c r="K19" i="3"/>
  <c r="N20" i="3"/>
  <c r="K21" i="3"/>
  <c r="N22" i="3"/>
  <c r="N23" i="3"/>
  <c r="K25" i="3"/>
  <c r="N26" i="3"/>
  <c r="K27" i="3"/>
  <c r="N28" i="3"/>
  <c r="K29" i="3"/>
  <c r="N31" i="3"/>
  <c r="N32" i="3"/>
  <c r="K33" i="3"/>
  <c r="N34" i="3"/>
  <c r="N35" i="3"/>
  <c r="N37" i="3"/>
  <c r="N38" i="3"/>
  <c r="K39" i="3"/>
  <c r="K40" i="3"/>
  <c r="N42" i="3"/>
  <c r="N43" i="3"/>
  <c r="N44" i="3"/>
  <c r="N45" i="3"/>
  <c r="N46" i="3"/>
  <c r="K49" i="3"/>
  <c r="N50" i="3"/>
  <c r="N51" i="3"/>
  <c r="N52" i="3"/>
  <c r="K55" i="3"/>
  <c r="N56" i="3"/>
  <c r="N57" i="3"/>
  <c r="K58" i="3"/>
  <c r="K61" i="3"/>
  <c r="N62" i="3"/>
  <c r="N64" i="3"/>
  <c r="N67" i="3"/>
  <c r="N68" i="3"/>
  <c r="N69" i="3"/>
  <c r="N70" i="3"/>
  <c r="N73" i="3"/>
  <c r="N74" i="3"/>
  <c r="K75" i="3"/>
  <c r="N76" i="3"/>
  <c r="N79" i="3"/>
  <c r="N80" i="3"/>
  <c r="N81" i="3"/>
  <c r="K82" i="3"/>
  <c r="K85" i="3"/>
  <c r="N86" i="3"/>
  <c r="N87" i="3"/>
  <c r="N88" i="3"/>
  <c r="N90" i="3"/>
  <c r="K91" i="3"/>
  <c r="N92" i="3"/>
  <c r="K93" i="3"/>
  <c r="N94" i="3"/>
  <c r="K97" i="3"/>
  <c r="N98" i="3"/>
  <c r="N99" i="3"/>
  <c r="K100" i="3"/>
  <c r="N103" i="3"/>
  <c r="N104" i="3"/>
  <c r="K105" i="3"/>
  <c r="K106" i="3"/>
  <c r="N109" i="3"/>
  <c r="N110" i="3"/>
  <c r="N111" i="3"/>
  <c r="N112" i="3"/>
  <c r="N115" i="3"/>
  <c r="N116" i="3"/>
  <c r="K117" i="3"/>
  <c r="K118" i="3"/>
  <c r="K121" i="3"/>
  <c r="N122" i="3"/>
  <c r="K123" i="3"/>
  <c r="N124" i="3"/>
  <c r="K127" i="3"/>
  <c r="N128" i="3"/>
  <c r="N129" i="3"/>
  <c r="K130" i="3"/>
  <c r="K133" i="3"/>
  <c r="N134" i="3"/>
  <c r="N135" i="3"/>
  <c r="N136" i="3"/>
  <c r="N139" i="3"/>
  <c r="N140" i="3"/>
  <c r="K141" i="3"/>
  <c r="K142" i="3"/>
  <c r="N145" i="3"/>
  <c r="N146" i="3"/>
  <c r="K147" i="3"/>
  <c r="K148" i="3"/>
  <c r="N151" i="3"/>
  <c r="N152" i="3"/>
  <c r="N153" i="3"/>
  <c r="K154" i="3"/>
  <c r="K157" i="3"/>
  <c r="N158" i="3"/>
  <c r="K159" i="3"/>
  <c r="N160" i="3"/>
  <c r="K163" i="3"/>
  <c r="N164" i="3"/>
  <c r="K165" i="3"/>
  <c r="K166" i="3"/>
  <c r="K169" i="3"/>
  <c r="N170" i="3"/>
  <c r="N171" i="3"/>
  <c r="K172" i="3"/>
  <c r="N175" i="3"/>
  <c r="N176" i="3"/>
  <c r="N177" i="3"/>
  <c r="N178" i="3"/>
  <c r="N181" i="3"/>
  <c r="N182" i="3"/>
  <c r="K183" i="3"/>
  <c r="K184" i="3"/>
  <c r="N187" i="3"/>
  <c r="N188" i="3"/>
  <c r="K189" i="3"/>
  <c r="K190" i="3"/>
  <c r="K193" i="3"/>
  <c r="N194" i="3"/>
  <c r="N195" i="3"/>
  <c r="K196" i="3"/>
  <c r="K199" i="3"/>
  <c r="N200" i="3"/>
  <c r="N201" i="3"/>
  <c r="K202" i="3"/>
  <c r="K205" i="3"/>
  <c r="N206" i="3"/>
  <c r="K207" i="3"/>
  <c r="K208" i="3"/>
  <c r="N211" i="3"/>
  <c r="N212" i="3"/>
  <c r="K213" i="3"/>
  <c r="K214" i="3"/>
  <c r="N217" i="3"/>
  <c r="N218" i="3"/>
  <c r="N219" i="3"/>
  <c r="K220" i="3"/>
  <c r="N223" i="3"/>
  <c r="N224" i="3"/>
  <c r="K225" i="3"/>
  <c r="K226" i="3"/>
  <c r="K229" i="3"/>
  <c r="N230" i="3"/>
  <c r="K231" i="3"/>
  <c r="N232" i="3"/>
  <c r="K235" i="3"/>
  <c r="N236" i="3"/>
  <c r="N237" i="3"/>
  <c r="K238" i="3"/>
  <c r="K241" i="3"/>
  <c r="N242" i="3"/>
  <c r="N243" i="3"/>
  <c r="N244" i="3"/>
  <c r="N247" i="3"/>
  <c r="N248" i="3"/>
  <c r="K249" i="3"/>
  <c r="K250" i="3"/>
  <c r="N253" i="3"/>
  <c r="N254" i="3"/>
  <c r="N255" i="3"/>
  <c r="N256" i="3"/>
  <c r="N259" i="3"/>
  <c r="N260" i="3"/>
  <c r="N262" i="3"/>
  <c r="K265" i="3"/>
  <c r="N266" i="3"/>
  <c r="N267" i="3"/>
  <c r="N268" i="3"/>
  <c r="K271" i="3"/>
  <c r="N272" i="3"/>
  <c r="N273" i="3"/>
  <c r="N274" i="3"/>
  <c r="K277" i="3"/>
  <c r="N278" i="3"/>
  <c r="N279" i="3"/>
  <c r="K280" i="3"/>
  <c r="N283" i="3"/>
  <c r="N284" i="3"/>
  <c r="N285" i="3"/>
  <c r="N286" i="3"/>
  <c r="N289" i="3"/>
  <c r="N290" i="3"/>
  <c r="N291" i="3"/>
  <c r="N292" i="3"/>
  <c r="N294" i="3"/>
  <c r="N295" i="3"/>
  <c r="N296" i="3"/>
  <c r="K297" i="3"/>
  <c r="N298" i="3"/>
  <c r="K301" i="3"/>
  <c r="N302" i="3"/>
  <c r="N303" i="3"/>
  <c r="K304" i="3"/>
  <c r="K307" i="3"/>
  <c r="N308" i="3"/>
  <c r="K309" i="3"/>
  <c r="N310" i="3"/>
  <c r="K313" i="3"/>
  <c r="N314" i="3"/>
  <c r="N315" i="3"/>
  <c r="K316" i="3"/>
  <c r="N319" i="3"/>
  <c r="N320" i="3"/>
  <c r="K321" i="3"/>
  <c r="N322" i="3"/>
  <c r="N325" i="3"/>
  <c r="N326" i="3"/>
  <c r="N327" i="3"/>
  <c r="N328" i="3"/>
  <c r="N331" i="3"/>
  <c r="N332" i="3"/>
  <c r="N333" i="3"/>
  <c r="N334" i="3"/>
  <c r="K337" i="3"/>
  <c r="N338" i="3"/>
  <c r="N339" i="3"/>
  <c r="K340" i="3"/>
  <c r="K343" i="3"/>
  <c r="N344" i="3"/>
  <c r="N345" i="3"/>
  <c r="K346" i="3"/>
  <c r="N348" i="3"/>
  <c r="K349" i="3"/>
  <c r="N350" i="3"/>
  <c r="K351" i="3"/>
  <c r="K352" i="3"/>
  <c r="N355" i="3"/>
  <c r="N356" i="3"/>
  <c r="K357" i="3"/>
  <c r="N358" i="3"/>
  <c r="N361" i="3"/>
  <c r="N362" i="3"/>
  <c r="N363" i="3"/>
  <c r="N364" i="3"/>
  <c r="N367" i="3"/>
  <c r="N368" i="3"/>
  <c r="N369" i="3"/>
  <c r="K370" i="3"/>
  <c r="K373" i="3"/>
  <c r="N375" i="3"/>
  <c r="K376" i="3"/>
  <c r="N379" i="3"/>
  <c r="N380" i="3"/>
  <c r="N381" i="3"/>
  <c r="N382" i="3"/>
  <c r="N384" i="3"/>
  <c r="N385" i="3"/>
  <c r="N386" i="3"/>
  <c r="N387" i="3"/>
  <c r="K388" i="3"/>
  <c r="K391" i="3"/>
  <c r="N392" i="3"/>
  <c r="K393" i="3"/>
  <c r="N394" i="3"/>
  <c r="N397" i="3"/>
  <c r="N398" i="3"/>
  <c r="N399" i="3"/>
  <c r="K400" i="3"/>
  <c r="N297" i="3"/>
  <c r="N309" i="3"/>
  <c r="N351" i="3"/>
  <c r="N357" i="3"/>
  <c r="K371" i="3"/>
  <c r="N374" i="3"/>
  <c r="K377" i="3"/>
  <c r="K383" i="3"/>
  <c r="K389" i="3"/>
  <c r="K395" i="3"/>
  <c r="N3" i="3"/>
  <c r="N6" i="3"/>
  <c r="N12" i="3"/>
  <c r="N13" i="3"/>
  <c r="N18" i="3"/>
  <c r="N19" i="3"/>
  <c r="N21" i="3"/>
  <c r="N24" i="3"/>
  <c r="N30" i="3"/>
  <c r="N33" i="3"/>
  <c r="N36" i="3"/>
  <c r="N41" i="3"/>
  <c r="N47" i="3"/>
  <c r="N48" i="3"/>
  <c r="N53" i="3"/>
  <c r="N54" i="3"/>
  <c r="N55" i="3"/>
  <c r="N59" i="3"/>
  <c r="N60" i="3"/>
  <c r="N63" i="3"/>
  <c r="N65" i="3"/>
  <c r="N66" i="3"/>
  <c r="N71" i="3"/>
  <c r="N72" i="3"/>
  <c r="N75" i="3"/>
  <c r="N77" i="3"/>
  <c r="N78" i="3"/>
  <c r="N83" i="3"/>
  <c r="N84" i="3"/>
  <c r="N89" i="3"/>
  <c r="N91" i="3"/>
  <c r="N95" i="3"/>
  <c r="N96" i="3"/>
  <c r="N101" i="3"/>
  <c r="N102" i="3"/>
  <c r="N105" i="3"/>
  <c r="N107" i="3"/>
  <c r="N108" i="3"/>
  <c r="N113" i="3"/>
  <c r="N114" i="3"/>
  <c r="N117" i="3"/>
  <c r="N118" i="3"/>
  <c r="N119" i="3"/>
  <c r="N120" i="3"/>
  <c r="N121" i="3"/>
  <c r="N125" i="3"/>
  <c r="N126" i="3"/>
  <c r="N127" i="3"/>
  <c r="N131" i="3"/>
  <c r="N132" i="3"/>
  <c r="N137" i="3"/>
  <c r="N138" i="3"/>
  <c r="N141" i="3"/>
  <c r="N142" i="3"/>
  <c r="N143" i="3"/>
  <c r="N144" i="3"/>
  <c r="N149" i="3"/>
  <c r="N150" i="3"/>
  <c r="N155" i="3"/>
  <c r="N156" i="3"/>
  <c r="N157" i="3"/>
  <c r="N159" i="3"/>
  <c r="N161" i="3"/>
  <c r="N162" i="3"/>
  <c r="N163" i="3"/>
  <c r="N165" i="3"/>
  <c r="N166" i="3"/>
  <c r="N167" i="3"/>
  <c r="N168" i="3"/>
  <c r="N173" i="3"/>
  <c r="N174" i="3"/>
  <c r="N179" i="3"/>
  <c r="N180" i="3"/>
  <c r="N183" i="3"/>
  <c r="N184" i="3"/>
  <c r="N185" i="3"/>
  <c r="N186" i="3"/>
  <c r="N191" i="3"/>
  <c r="N192" i="3"/>
  <c r="N193" i="3"/>
  <c r="N197" i="3"/>
  <c r="N198" i="3"/>
  <c r="N199" i="3"/>
  <c r="N203" i="3"/>
  <c r="N204" i="3"/>
  <c r="N207" i="3"/>
  <c r="N208" i="3"/>
  <c r="N209" i="3"/>
  <c r="N210" i="3"/>
  <c r="N215" i="3"/>
  <c r="N216" i="3"/>
  <c r="N221" i="3"/>
  <c r="N222" i="3"/>
  <c r="N225" i="3"/>
  <c r="N226" i="3"/>
  <c r="N227" i="3"/>
  <c r="N228" i="3"/>
  <c r="N229" i="3"/>
  <c r="N233" i="3"/>
  <c r="N234" i="3"/>
  <c r="N235" i="3"/>
  <c r="N239" i="3"/>
  <c r="N240" i="3"/>
  <c r="N245" i="3"/>
  <c r="N246" i="3"/>
  <c r="N249" i="3"/>
  <c r="N250" i="3"/>
  <c r="N251" i="3"/>
  <c r="N252" i="3"/>
  <c r="N257" i="3"/>
  <c r="N258" i="3"/>
  <c r="N261" i="3"/>
  <c r="N263" i="3"/>
  <c r="N264" i="3"/>
  <c r="N265" i="3"/>
  <c r="N269" i="3"/>
  <c r="N270" i="3"/>
  <c r="N275" i="3"/>
  <c r="N276" i="3"/>
  <c r="N281" i="3"/>
  <c r="N282" i="3"/>
  <c r="N287" i="3"/>
  <c r="N288" i="3"/>
  <c r="N293" i="3"/>
  <c r="N299" i="3"/>
  <c r="N300" i="3"/>
  <c r="N305" i="3"/>
  <c r="N306" i="3"/>
  <c r="N311" i="3"/>
  <c r="N312" i="3"/>
  <c r="N317" i="3"/>
  <c r="N318" i="3"/>
  <c r="N323" i="3"/>
  <c r="N324" i="3"/>
  <c r="N329" i="3"/>
  <c r="N330" i="3"/>
  <c r="N335" i="3"/>
  <c r="N336" i="3"/>
  <c r="N341" i="3"/>
  <c r="N342" i="3"/>
  <c r="N347" i="3"/>
  <c r="N353" i="3"/>
  <c r="N354" i="3"/>
  <c r="N359" i="3"/>
  <c r="N360" i="3"/>
  <c r="N365" i="3"/>
  <c r="N366" i="3"/>
  <c r="N371" i="3"/>
  <c r="N372" i="3"/>
  <c r="N377" i="3"/>
  <c r="N378" i="3"/>
  <c r="N383" i="3"/>
  <c r="N389" i="3"/>
  <c r="N390" i="3"/>
  <c r="N391" i="3"/>
  <c r="N395" i="3"/>
  <c r="N396" i="3"/>
  <c r="K3" i="3"/>
  <c r="K4" i="3"/>
  <c r="K6" i="3"/>
  <c r="K12" i="3"/>
  <c r="K15" i="3"/>
  <c r="K18" i="3"/>
  <c r="K24" i="3"/>
  <c r="K30" i="3"/>
  <c r="K36" i="3"/>
  <c r="K37" i="3"/>
  <c r="K41" i="3"/>
  <c r="K42" i="3"/>
  <c r="K45" i="3"/>
  <c r="K47" i="3"/>
  <c r="K48" i="3"/>
  <c r="K53" i="3"/>
  <c r="K54" i="3"/>
  <c r="K59" i="3"/>
  <c r="K60" i="3"/>
  <c r="K63" i="3"/>
  <c r="K64" i="3"/>
  <c r="K65" i="3"/>
  <c r="K66" i="3"/>
  <c r="K67" i="3"/>
  <c r="K71" i="3"/>
  <c r="K72" i="3"/>
  <c r="K73" i="3"/>
  <c r="K77" i="3"/>
  <c r="K78" i="3"/>
  <c r="K81" i="3"/>
  <c r="K83" i="3"/>
  <c r="K84" i="3"/>
  <c r="K89" i="3"/>
  <c r="K90" i="3"/>
  <c r="K95" i="3"/>
  <c r="K96" i="3"/>
  <c r="K99" i="3"/>
  <c r="K101" i="3"/>
  <c r="K102" i="3"/>
  <c r="K107" i="3"/>
  <c r="K108" i="3"/>
  <c r="K109" i="3"/>
  <c r="K111" i="3"/>
  <c r="K113" i="3"/>
  <c r="K114" i="3"/>
  <c r="K119" i="3"/>
  <c r="K120" i="3"/>
  <c r="K125" i="3"/>
  <c r="K126" i="3"/>
  <c r="K129" i="3"/>
  <c r="K131" i="3"/>
  <c r="K132" i="3"/>
  <c r="K137" i="3"/>
  <c r="K138" i="3"/>
  <c r="K139" i="3"/>
  <c r="K143" i="3"/>
  <c r="K144" i="3"/>
  <c r="K145" i="3"/>
  <c r="K149" i="3"/>
  <c r="K150" i="3"/>
  <c r="K153" i="3"/>
  <c r="K155" i="3"/>
  <c r="K156" i="3"/>
  <c r="K161" i="3"/>
  <c r="K162" i="3"/>
  <c r="K167" i="3"/>
  <c r="K168" i="3"/>
  <c r="K171" i="3"/>
  <c r="K173" i="3"/>
  <c r="K174" i="3"/>
  <c r="K175" i="3"/>
  <c r="K177" i="3"/>
  <c r="K178" i="3"/>
  <c r="K179" i="3"/>
  <c r="K180" i="3"/>
  <c r="K181" i="3"/>
  <c r="K185" i="3"/>
  <c r="K186" i="3"/>
  <c r="K191" i="3"/>
  <c r="K192" i="3"/>
  <c r="K195" i="3"/>
  <c r="K197" i="3"/>
  <c r="K198" i="3"/>
  <c r="K203" i="3"/>
  <c r="K204" i="3"/>
  <c r="K209" i="3"/>
  <c r="K210" i="3"/>
  <c r="K211" i="3"/>
  <c r="K215" i="3"/>
  <c r="K216" i="3"/>
  <c r="K217" i="3"/>
  <c r="K219" i="3"/>
  <c r="K221" i="3"/>
  <c r="K222" i="3"/>
  <c r="K227" i="3"/>
  <c r="K228" i="3"/>
  <c r="K233" i="3"/>
  <c r="K234" i="3"/>
  <c r="K237" i="3"/>
  <c r="K239" i="3"/>
  <c r="K240" i="3"/>
  <c r="K245" i="3"/>
  <c r="K246" i="3"/>
  <c r="K247" i="3"/>
  <c r="K251" i="3"/>
  <c r="K252" i="3"/>
  <c r="K253" i="3"/>
  <c r="K257" i="3"/>
  <c r="K258" i="3"/>
  <c r="K261" i="3"/>
  <c r="K263" i="3"/>
  <c r="K264" i="3"/>
  <c r="K269" i="3"/>
  <c r="K270" i="3"/>
  <c r="K275" i="3"/>
  <c r="K276" i="3"/>
  <c r="K279" i="3"/>
  <c r="K281" i="3"/>
  <c r="K282" i="3"/>
  <c r="K283" i="3"/>
  <c r="K285" i="3"/>
  <c r="K286" i="3"/>
  <c r="K287" i="3"/>
  <c r="K288" i="3"/>
  <c r="K289" i="3"/>
  <c r="K293" i="3"/>
  <c r="K294" i="3"/>
  <c r="K299" i="3"/>
  <c r="K300" i="3"/>
  <c r="K303" i="3"/>
  <c r="K305" i="3"/>
  <c r="K306" i="3"/>
  <c r="K311" i="3"/>
  <c r="K312" i="3"/>
  <c r="K317" i="3"/>
  <c r="K318" i="3"/>
  <c r="K319" i="3"/>
  <c r="K323" i="3"/>
  <c r="K324" i="3"/>
  <c r="K325" i="3"/>
  <c r="K327" i="3"/>
  <c r="K329" i="3"/>
  <c r="K330" i="3"/>
  <c r="K335" i="3"/>
  <c r="K336" i="3"/>
  <c r="K341" i="3"/>
  <c r="K342" i="3"/>
  <c r="K345" i="3"/>
  <c r="K347" i="3"/>
  <c r="K348" i="3"/>
  <c r="K353" i="3"/>
  <c r="K354" i="3"/>
  <c r="K355" i="3"/>
  <c r="K359" i="3"/>
  <c r="K360" i="3"/>
  <c r="K361" i="3"/>
  <c r="K363" i="3"/>
  <c r="K365" i="3"/>
  <c r="K366" i="3"/>
  <c r="K372" i="3"/>
  <c r="K375" i="3"/>
  <c r="K378" i="3"/>
  <c r="K379" i="3"/>
  <c r="K384" i="3"/>
  <c r="K387" i="3"/>
  <c r="K390" i="3"/>
  <c r="K396" i="3"/>
  <c r="K397" i="3"/>
  <c r="K399" i="3"/>
  <c r="C22" i="12" l="1"/>
  <c r="C18" i="12"/>
  <c r="S2" i="3"/>
  <c r="R2" i="3"/>
  <c r="C10" i="12" s="1"/>
  <c r="M2" i="3"/>
  <c r="K35" i="3"/>
  <c r="K23" i="3"/>
  <c r="N29" i="3"/>
  <c r="K17" i="3"/>
  <c r="K11" i="3"/>
  <c r="K160" i="3"/>
  <c r="K310" i="3"/>
  <c r="K292" i="3"/>
  <c r="K268" i="3"/>
  <c r="K244" i="3"/>
  <c r="K136" i="3"/>
  <c r="K52" i="3"/>
  <c r="K382" i="3"/>
  <c r="K369" i="3"/>
  <c r="K334" i="3"/>
  <c r="K291" i="3"/>
  <c r="K267" i="3"/>
  <c r="K243" i="3"/>
  <c r="K201" i="3"/>
  <c r="K135" i="3"/>
  <c r="K88" i="3"/>
  <c r="K69" i="3"/>
  <c r="K51" i="3"/>
  <c r="K22" i="3"/>
  <c r="N400" i="3"/>
  <c r="N373" i="3"/>
  <c r="N352" i="3"/>
  <c r="N337" i="3"/>
  <c r="N316" i="3"/>
  <c r="N301" i="3"/>
  <c r="N280" i="3"/>
  <c r="N238" i="3"/>
  <c r="N231" i="3"/>
  <c r="N214" i="3"/>
  <c r="N190" i="3"/>
  <c r="N172" i="3"/>
  <c r="N148" i="3"/>
  <c r="N130" i="3"/>
  <c r="N123" i="3"/>
  <c r="N93" i="3"/>
  <c r="N39" i="3"/>
  <c r="N10" i="3"/>
  <c r="K394" i="3"/>
  <c r="K333" i="3"/>
  <c r="K298" i="3"/>
  <c r="K274" i="3"/>
  <c r="K256" i="3"/>
  <c r="K232" i="3"/>
  <c r="K124" i="3"/>
  <c r="K87" i="3"/>
  <c r="K76" i="3"/>
  <c r="K9" i="3"/>
  <c r="N388" i="3"/>
  <c r="N213" i="3"/>
  <c r="N196" i="3"/>
  <c r="N189" i="3"/>
  <c r="N147" i="3"/>
  <c r="N58" i="3"/>
  <c r="N27" i="3"/>
  <c r="N393" i="3"/>
  <c r="K34" i="3"/>
  <c r="N340" i="3"/>
  <c r="N304" i="3"/>
  <c r="K358" i="3"/>
  <c r="K322" i="3"/>
  <c r="K315" i="3"/>
  <c r="K273" i="3"/>
  <c r="K255" i="3"/>
  <c r="K94" i="3"/>
  <c r="K57" i="3"/>
  <c r="N346" i="3"/>
  <c r="N220" i="3"/>
  <c r="N202" i="3"/>
  <c r="N154" i="3"/>
  <c r="N100" i="3"/>
  <c r="N321" i="3"/>
  <c r="N376" i="3"/>
  <c r="K364" i="3"/>
  <c r="K339" i="3"/>
  <c r="K262" i="3"/>
  <c r="K112" i="3"/>
  <c r="K46" i="3"/>
  <c r="N370" i="3"/>
  <c r="K103" i="3"/>
  <c r="K70" i="3"/>
  <c r="N49" i="3"/>
  <c r="N16" i="3"/>
  <c r="K28" i="3"/>
  <c r="N106" i="3"/>
  <c r="N82" i="3"/>
  <c r="N40" i="3"/>
  <c r="K31" i="3"/>
  <c r="N85" i="3"/>
  <c r="K381" i="3"/>
  <c r="K328" i="3"/>
  <c r="K385" i="3"/>
  <c r="K367" i="3"/>
  <c r="K331" i="3"/>
  <c r="K295" i="3"/>
  <c r="K259" i="3"/>
  <c r="K223" i="3"/>
  <c r="K187" i="3"/>
  <c r="K151" i="3"/>
  <c r="K115" i="3"/>
  <c r="K79" i="3"/>
  <c r="K43" i="3"/>
  <c r="K7" i="3"/>
  <c r="N343" i="3"/>
  <c r="N307" i="3"/>
  <c r="N271" i="3"/>
  <c r="N241" i="3"/>
  <c r="N205" i="3"/>
  <c r="N169" i="3"/>
  <c r="N133" i="3"/>
  <c r="N97" i="3"/>
  <c r="N61" i="3"/>
  <c r="N25" i="3"/>
  <c r="N349" i="3"/>
  <c r="N313" i="3"/>
  <c r="N277" i="3"/>
  <c r="K398" i="3"/>
  <c r="K392" i="3"/>
  <c r="K386" i="3"/>
  <c r="K380" i="3"/>
  <c r="K374" i="3"/>
  <c r="K368" i="3"/>
  <c r="K362" i="3"/>
  <c r="K356" i="3"/>
  <c r="K350" i="3"/>
  <c r="K344" i="3"/>
  <c r="K338" i="3"/>
  <c r="K332" i="3"/>
  <c r="K326" i="3"/>
  <c r="K320" i="3"/>
  <c r="K314" i="3"/>
  <c r="K308" i="3"/>
  <c r="K302" i="3"/>
  <c r="K296" i="3"/>
  <c r="K290" i="3"/>
  <c r="K284" i="3"/>
  <c r="K278" i="3"/>
  <c r="K272" i="3"/>
  <c r="K266" i="3"/>
  <c r="K260" i="3"/>
  <c r="K254" i="3"/>
  <c r="K248" i="3"/>
  <c r="K242" i="3"/>
  <c r="K236" i="3"/>
  <c r="K230" i="3"/>
  <c r="K224" i="3"/>
  <c r="K218" i="3"/>
  <c r="K212" i="3"/>
  <c r="K206" i="3"/>
  <c r="K200" i="3"/>
  <c r="K194" i="3"/>
  <c r="K188" i="3"/>
  <c r="K182" i="3"/>
  <c r="K176" i="3"/>
  <c r="K170" i="3"/>
  <c r="K164" i="3"/>
  <c r="K158" i="3"/>
  <c r="K152" i="3"/>
  <c r="K146" i="3"/>
  <c r="K140" i="3"/>
  <c r="K134" i="3"/>
  <c r="K128" i="3"/>
  <c r="K122" i="3"/>
  <c r="K116" i="3"/>
  <c r="K110" i="3"/>
  <c r="K104" i="3"/>
  <c r="K98" i="3"/>
  <c r="K92" i="3"/>
  <c r="K86" i="3"/>
  <c r="K80" i="3"/>
  <c r="K74" i="3"/>
  <c r="K68" i="3"/>
  <c r="K62" i="3"/>
  <c r="K56" i="3"/>
  <c r="K50" i="3"/>
  <c r="K44" i="3"/>
  <c r="K38" i="3"/>
  <c r="K32" i="3"/>
  <c r="K26" i="3"/>
  <c r="K20" i="3"/>
  <c r="K14" i="3"/>
  <c r="K8" i="3"/>
  <c r="H4" i="6"/>
  <c r="J4" i="6" s="1"/>
  <c r="H5" i="6"/>
  <c r="J5" i="6" s="1"/>
  <c r="K3" i="12" l="1"/>
  <c r="C17" i="12"/>
  <c r="C23" i="12" s="1"/>
  <c r="T2" i="3"/>
  <c r="C24" i="12" s="1"/>
  <c r="K10" i="12" l="1"/>
  <c r="F7" i="11" s="1"/>
</calcChain>
</file>

<file path=xl/sharedStrings.xml><?xml version="1.0" encoding="utf-8"?>
<sst xmlns="http://schemas.openxmlformats.org/spreadsheetml/2006/main" count="620" uniqueCount="389">
  <si>
    <t>Radiator Type</t>
  </si>
  <si>
    <t>Column Radiators</t>
  </si>
  <si>
    <t>Sq Ft Radiation Per Section</t>
  </si>
  <si>
    <t>Rad Type</t>
  </si>
  <si>
    <t>Column</t>
  </si>
  <si>
    <t>Tube</t>
  </si>
  <si>
    <t>Cast Rad/Conv</t>
  </si>
  <si>
    <t>Cabinet Depth</t>
  </si>
  <si>
    <t>Cabinet Length</t>
  </si>
  <si>
    <t>20-1/2"</t>
  </si>
  <si>
    <t>24-1/2"</t>
  </si>
  <si>
    <t>28-1/2"</t>
  </si>
  <si>
    <t>32-1/2"</t>
  </si>
  <si>
    <t>4-1/2"</t>
  </si>
  <si>
    <t>36-1/2"</t>
  </si>
  <si>
    <t>40-1/2"</t>
  </si>
  <si>
    <t>44-1/2"</t>
  </si>
  <si>
    <t>48-1/2"</t>
  </si>
  <si>
    <t>56-1/2"</t>
  </si>
  <si>
    <t>64-1/2"</t>
  </si>
  <si>
    <t>6-1/2"</t>
  </si>
  <si>
    <t>8-1/2"</t>
  </si>
  <si>
    <t>10-1/2"</t>
  </si>
  <si>
    <t>Copper Cabinet</t>
  </si>
  <si>
    <t>Rad Types</t>
  </si>
  <si>
    <t>Columns</t>
  </si>
  <si>
    <t>Tubes</t>
  </si>
  <si>
    <t>Width</t>
  </si>
  <si>
    <t>Height</t>
  </si>
  <si>
    <t>Height(In)</t>
  </si>
  <si>
    <t>-</t>
  </si>
  <si>
    <t>Total BTUs Radiation</t>
  </si>
  <si>
    <t>Gauge Pressure</t>
  </si>
  <si>
    <t>(psig)</t>
  </si>
  <si>
    <t>Temperature</t>
  </si>
  <si>
    <r>
      <t>(</t>
    </r>
    <r>
      <rPr>
        <b/>
        <i/>
        <vertAlign val="superscript"/>
        <sz val="11"/>
        <color theme="1"/>
        <rFont val="Aptos Narrow"/>
        <family val="2"/>
        <scheme val="minor"/>
      </rPr>
      <t>o</t>
    </r>
    <r>
      <rPr>
        <b/>
        <i/>
        <sz val="11"/>
        <color theme="1"/>
        <rFont val="Aptos Narrow"/>
        <family val="2"/>
        <scheme val="minor"/>
      </rPr>
      <t>F)</t>
    </r>
  </si>
  <si>
    <t>Specific Volume Saturated Vapor</t>
  </si>
  <si>
    <r>
      <t>(ft</t>
    </r>
    <r>
      <rPr>
        <b/>
        <i/>
        <vertAlign val="superscript"/>
        <sz val="11"/>
        <color theme="1"/>
        <rFont val="Aptos Narrow"/>
        <family val="2"/>
        <scheme val="minor"/>
      </rPr>
      <t>3</t>
    </r>
    <r>
      <rPr>
        <b/>
        <i/>
        <sz val="11"/>
        <color theme="1"/>
        <rFont val="Aptos Narrow"/>
        <family val="2"/>
        <scheme val="minor"/>
      </rPr>
      <t>/lb)</t>
    </r>
  </si>
  <si>
    <t>Enthalpy</t>
  </si>
  <si>
    <t>Saturated Liquid</t>
  </si>
  <si>
    <t>(Btu/lb)</t>
  </si>
  <si>
    <t>Evaporated</t>
  </si>
  <si>
    <t>Saturated Vapor</t>
  </si>
  <si>
    <t>PSI</t>
  </si>
  <si>
    <t>F</t>
  </si>
  <si>
    <t>ft3/lb</t>
  </si>
  <si>
    <t>MAIN VENTS</t>
  </si>
  <si>
    <t>1 OZ. CFM</t>
  </si>
  <si>
    <t>2 OZ. CFM</t>
  </si>
  <si>
    <t>3 OZ. CFM</t>
  </si>
  <si>
    <t>Open 1/8" Steel Pipe</t>
  </si>
  <si>
    <t>Open 1/2" Steel Pipe</t>
  </si>
  <si>
    <t>Open 3/4" Steel Pipe</t>
  </si>
  <si>
    <t>Note 1</t>
  </si>
  <si>
    <t>Open 1" Steel Pipe</t>
  </si>
  <si>
    <t>American Radiator Co. Ideal Vac-Vent #822 - (obsolete)</t>
  </si>
  <si>
    <t>Barnes &amp; Jones QV 1 (obsolete)</t>
  </si>
  <si>
    <t>Barnes &amp; Jones Ventrite #75-- (obsolete)</t>
  </si>
  <si>
    <t>Detroit Controls #841 Quick Vent (obsolete)</t>
  </si>
  <si>
    <t>Dole #5 Quick Vent</t>
  </si>
  <si>
    <t>Gorton #1</t>
  </si>
  <si>
    <t>Gorton #2</t>
  </si>
  <si>
    <t>Hoffman #4</t>
  </si>
  <si>
    <t>Hoffman #4A</t>
  </si>
  <si>
    <t>Hoffman #6 Vacuum Valve (obsolete)</t>
  </si>
  <si>
    <t>Hoffman #10 Vapor Vent - (obsolete)</t>
  </si>
  <si>
    <t>Hoffman #11 Vapor Vacuum Vent (obsolete)</t>
  </si>
  <si>
    <t>Hoffman #15 Vacuum Vent (obsolete) Differential Loop</t>
  </si>
  <si>
    <t>Hoffman #16 Vacuum Valve (obsolete)</t>
  </si>
  <si>
    <t>Hoffman #16A Vacuum Valve (obsolete)</t>
  </si>
  <si>
    <t>Hoffman #75</t>
  </si>
  <si>
    <t>Hoffman #76 Vacuum Valve</t>
  </si>
  <si>
    <t>Ideal Htg. Co. "Wafer Style" - - (obsolete)</t>
  </si>
  <si>
    <t>Maid-O-Mist #1 Straight Pattern</t>
  </si>
  <si>
    <t>Marsh #55</t>
  </si>
  <si>
    <t>Mouat Cast Iron 'Bullet' Style (obsolete)</t>
  </si>
  <si>
    <t>Mouat Tri Tube (obsolete)</t>
  </si>
  <si>
    <t>Squires Co. Mouat Series Cast Iron Bullet Style (obsolete)</t>
  </si>
  <si>
    <t>Trane Cast Iron Bullet Style (obsolete)</t>
  </si>
  <si>
    <t>Vent Rite #35</t>
  </si>
  <si>
    <t>Vent Rite #75 (Barnes &amp; Jones Issue) (obsolete)</t>
  </si>
  <si>
    <t>Vent Rite #77</t>
  </si>
  <si>
    <t>Watts SVS-3</t>
  </si>
  <si>
    <t>Warco #3(obsolete)</t>
  </si>
  <si>
    <t>Warco #87 (obsolete)</t>
  </si>
  <si>
    <t>Warren Webster #40-15 Vent Trap (obsolete)</t>
  </si>
  <si>
    <t>Radiator Vents</t>
  </si>
  <si>
    <t>#1 (obsolete) Airmatic</t>
  </si>
  <si>
    <t>American Radiator Co. Detroit Controls #500 Airid (obsolete)</t>
  </si>
  <si>
    <t>ARCO Detroit Controls Multiport Setting 1-- (obsolete)</t>
  </si>
  <si>
    <t>Note 3</t>
  </si>
  <si>
    <t>ARCO Detroit Controls Multiport Setting 2 (obsolete)</t>
  </si>
  <si>
    <t>ARCO Detroit Controls Multiport Setting 3- (obsolete)</t>
  </si>
  <si>
    <t>Detroit Controls Multiport Setting 4 (obsolete) ARCO</t>
  </si>
  <si>
    <t>ARCO Detroit Controls Multiport Setting 5 (obsolete)</t>
  </si>
  <si>
    <t>ARCO Detroit Controls Multiport Setting 6 (obsolete)</t>
  </si>
  <si>
    <t>ARCO Detroit Controls Multiport Setting 7-- (obsolete)</t>
  </si>
  <si>
    <t>Detroit Controls Multiport Setting 8 (obsolete) ARCO</t>
  </si>
  <si>
    <t>ARCO Detroit Controls Multiport Setting 9 (obsolete)</t>
  </si>
  <si>
    <t>ARCO Detroit Controls Multiport Setting 10- (obsolete)</t>
  </si>
  <si>
    <t>Detroit Controls #5000 Airid Variport (obsolete) Low setting</t>
  </si>
  <si>
    <t>NONE</t>
  </si>
  <si>
    <t>Detroit Controls #5000 Airid Variport (obsolete) Med setting</t>
  </si>
  <si>
    <t>Detroit Controls #5000 Airid Variport (obsolete) High setting</t>
  </si>
  <si>
    <t>Dole 1933</t>
  </si>
  <si>
    <t>Dole 1A Setting 1</t>
  </si>
  <si>
    <t>Dole 1A Setting 2</t>
  </si>
  <si>
    <t>Dole 1A Setting 3</t>
  </si>
  <si>
    <t>Dole 1A Setting 4</t>
  </si>
  <si>
    <t>Dole 1A Setting 5</t>
  </si>
  <si>
    <t>Dole 1A Setting 6</t>
  </si>
  <si>
    <t>Dole 1A Setting 1 Modern Version W/Plastic Tongue *Note 4</t>
  </si>
  <si>
    <t>Dole 1A Setting 2 Modern Version W/Plastic Tongue *Note 4</t>
  </si>
  <si>
    <t>Dole 1A Setting 3 Modern Version W/Plastic Tongue *Note 4</t>
  </si>
  <si>
    <t>Dole 1A Setting 4 Modern Version W/Plastic Tongue *Note 4</t>
  </si>
  <si>
    <t>Dole 1A Setting 5 Modern Version W/Plastic Tongue *Note 4</t>
  </si>
  <si>
    <t>Dole 1A Setting 6 Modern Version W/Plastic Tongue *Note 4</t>
  </si>
  <si>
    <t>Dole 1A Setting 7 Modern Version W/Plastic Tongue *Note 4</t>
  </si>
  <si>
    <t>Dole 1A Setting 8 Modern Version W/Plastic Tongue *Note 4</t>
  </si>
  <si>
    <t>Dole 1A Setting 9 Modern Version W/Plastic Tongue *Note 4</t>
  </si>
  <si>
    <t>Dole 1A Setting 10 Modern Version W/Plastic Tongue *Note 4</t>
  </si>
  <si>
    <t>Dole 1A Cap Removed Modern Version W/Plastic Tongue</t>
  </si>
  <si>
    <t>Flair #51 - - (obsolete)</t>
  </si>
  <si>
    <t>Gorton 4</t>
  </si>
  <si>
    <t>Gorton 5</t>
  </si>
  <si>
    <t>Gorton 6</t>
  </si>
  <si>
    <t>Gorton C</t>
  </si>
  <si>
    <t>Gorton D</t>
  </si>
  <si>
    <t>Heat Timer Varivalve Min Setting Angle Pattern</t>
  </si>
  <si>
    <t>Heat Timer Varivalve 50% Setting Angle Pattern</t>
  </si>
  <si>
    <t>Heat Timer Varivalve Max Setting Angle Pattern</t>
  </si>
  <si>
    <t>Heat Timer Varivalve Min Setting Straight Pattern</t>
  </si>
  <si>
    <t>Heat Timer Varivalve 50% Setting Straight Pattern</t>
  </si>
  <si>
    <t>Heat Timer Varivalve Max Setting Straight Pattern</t>
  </si>
  <si>
    <t>Hoffman #1 - - (obsolete)</t>
  </si>
  <si>
    <t>Hoffman 1A Setting 1</t>
  </si>
  <si>
    <t>Hoffman 1A Setting 2</t>
  </si>
  <si>
    <t>Hoffman 1A Setting 3</t>
  </si>
  <si>
    <t>Hoffman 1A Setting 4</t>
  </si>
  <si>
    <t>Hoffman 1A Setting 5</t>
  </si>
  <si>
    <t>Hoffman 1A Setting 6</t>
  </si>
  <si>
    <t>Hoffman #2 Vacuum Vent Non Adjustable - - (obsolete)</t>
  </si>
  <si>
    <t>Hoffman #2 Vacuum Vent Setting 1 - - (obsolete)</t>
  </si>
  <si>
    <t>Hoffman #2 Vacuum Vent Setting 2 - - (obsolete)</t>
  </si>
  <si>
    <t>Hoffman #2 Vacuum Vent Setting 3 - - (obsolete)</t>
  </si>
  <si>
    <t>Hoffman #2 Vacuum Vent Setting 4 - - (obsolete)</t>
  </si>
  <si>
    <t>Hoffman #2 Vacuum Vent Setting 5 - - (obsolete)</t>
  </si>
  <si>
    <t>Hoffman #2 Vacuum Vent Setting 6 - - (obsolete)</t>
  </si>
  <si>
    <t>Hoffman #2A Vacuum Vent Setting 1 - - (obsolete)</t>
  </si>
  <si>
    <t>Hoffman #2A Vacuum Vent Setting 2 - - (obsolete)</t>
  </si>
  <si>
    <t>Hoffman #2A Vacuum Vent Setting 3 - - (obsolete)</t>
  </si>
  <si>
    <t>Hoffman #2A Vacuum Vent Setting 4 - - (obsolete)</t>
  </si>
  <si>
    <t>Hoffman #2A Vacuum Vent Setting 5 - - (obsolete)</t>
  </si>
  <si>
    <t>Hoffman #2A Vacuum Vent Setting 6 - - (obsolete)</t>
  </si>
  <si>
    <t>Hoffman #3 (Paul Vent)</t>
  </si>
  <si>
    <t>Hoffman 40</t>
  </si>
  <si>
    <t>Hoffman 41</t>
  </si>
  <si>
    <t>Hoffman #70 Airport Non Adjustable - - (obsolete)</t>
  </si>
  <si>
    <t>Hoffman #70 Airport Setting #1 - - (obsolete)</t>
  </si>
  <si>
    <t>Hoffman #70 Airport Setting #2 - - (obsolete)</t>
  </si>
  <si>
    <t>Hoffman #70 Airport Setting #3 - - (obsolete)</t>
  </si>
  <si>
    <t>Hoffman #70 Airport Setting #4 - - (obsolete)</t>
  </si>
  <si>
    <t>Hoffman #70 Airport Setting #5 - - (obsolete)</t>
  </si>
  <si>
    <t>Hoffman #70 Airport Setting #6 - - (obsolete)</t>
  </si>
  <si>
    <t>Hoffman #74 Unit Heater Vent</t>
  </si>
  <si>
    <t>Hoffman #500</t>
  </si>
  <si>
    <t>Homart #775.8812</t>
  </si>
  <si>
    <t>Marsh Paul Vent (circa 1901) - - (obsolete)</t>
  </si>
  <si>
    <t>Marsh #3 (Paul Vent) - - (obsolete)</t>
  </si>
  <si>
    <t>Maid-O-Mist 4</t>
  </si>
  <si>
    <t>Maid-O-Mist 5</t>
  </si>
  <si>
    <t>Maid-O-Mist 6</t>
  </si>
  <si>
    <t>Maid-O-Mist C</t>
  </si>
  <si>
    <t>Maid-O-Mist D</t>
  </si>
  <si>
    <t>M.S. Little Co. #L-15 - - (obsolete)</t>
  </si>
  <si>
    <t>National Steam Specialty Co. Paul Vent - - (obsolete)</t>
  </si>
  <si>
    <t>U.S. Radiator #3 Triton - - (obsolete)</t>
  </si>
  <si>
    <t>Ventrite #1 Setting 1</t>
  </si>
  <si>
    <t>Off</t>
  </si>
  <si>
    <t>Ventrite #1 Setting 2</t>
  </si>
  <si>
    <t>Ventrite #1 Setting 3</t>
  </si>
  <si>
    <t>Ventrite #1 Setting 4</t>
  </si>
  <si>
    <t>Ventrite #1 Setting 5</t>
  </si>
  <si>
    <t>Ventrite #1 Setting 6</t>
  </si>
  <si>
    <t>Ventrite #1 Setting 7</t>
  </si>
  <si>
    <t>Ventrite #1 Setting 8</t>
  </si>
  <si>
    <t>Ventrite #2 IVS (obsolete Anderson Manufacturing)</t>
  </si>
  <si>
    <t>Ventrite #11</t>
  </si>
  <si>
    <t>Watts SV</t>
  </si>
  <si>
    <t>Watts SVA setting 1/8</t>
  </si>
  <si>
    <t>Watts SVA setting 1/4</t>
  </si>
  <si>
    <t>Watts SVA setting 1/2 **</t>
  </si>
  <si>
    <t>Watts SVA setting 3/4 **</t>
  </si>
  <si>
    <t>Watts SVA setting 7/8 **</t>
  </si>
  <si>
    <t>Watts SVA setting Full **</t>
  </si>
  <si>
    <t>Barnes &amp; Jones 1/2" #122</t>
  </si>
  <si>
    <t>Dunham #1 1/2" - - (obsolete)</t>
  </si>
  <si>
    <t>Dunham #1 W/B&amp;J Cage Unit</t>
  </si>
  <si>
    <t>Dunham - Bush #1E - - (obsolete)</t>
  </si>
  <si>
    <t>Dunham - Bush #1E W/B&amp;J Cage Unit</t>
  </si>
  <si>
    <t>Hoffman 17C 1/2" W/Dura-Stat Capsule</t>
  </si>
  <si>
    <t>Hoffman 17C W/B&amp;J Cage Unit</t>
  </si>
  <si>
    <t>Hoffman 17D 1/2" Model 1939 - - (obsolete)</t>
  </si>
  <si>
    <t>Ideal Heating Co. Thermostatic 1/2" - - (obsolete)</t>
  </si>
  <si>
    <t>Ideal W/B&amp;J Cage Unit Installed</t>
  </si>
  <si>
    <t>Illinois 1/2" #1G</t>
  </si>
  <si>
    <t>Marsh #1 Reflux - - (obsolete)</t>
  </si>
  <si>
    <t>Marsh #1 Reflux W/B&amp;J Cage Unit</t>
  </si>
  <si>
    <t>Marsh 1N 1/2"</t>
  </si>
  <si>
    <t>Mepco 1/2" #1E</t>
  </si>
  <si>
    <t>Mepco 1/2" #1R</t>
  </si>
  <si>
    <t>Milvaco Model #0 - - (obsolete)</t>
  </si>
  <si>
    <t>Milvaco Model #0 W/B&amp;J Cage Unit</t>
  </si>
  <si>
    <t>Monash #30 1/2"</t>
  </si>
  <si>
    <t>Monash #34 1/2"</t>
  </si>
  <si>
    <t>Monash #38 1/2"</t>
  </si>
  <si>
    <t>Mouat Model 1924 Thermostatic 1/2" - - (obsolete)</t>
  </si>
  <si>
    <t>Mouat 1924 W/B&amp;J Cage Unit Installed</t>
  </si>
  <si>
    <t>Mouat #35 1/2" - - (Obsolete)</t>
  </si>
  <si>
    <t>Mouat #35 1/2" W/B&amp;J Cage Unit Installed</t>
  </si>
  <si>
    <t>Mouat #36 1/2" - - (Obsolete)</t>
  </si>
  <si>
    <t>Mouat #36 1/2" W/B&amp;J Cage Unit Installed</t>
  </si>
  <si>
    <t>Mouat Water Seal Trap 1/2" Oval - - (obsolete)</t>
  </si>
  <si>
    <t>Mouat Water Seal Trap 1/2" Round - - (obsolete)</t>
  </si>
  <si>
    <t>Nicholson #N125</t>
  </si>
  <si>
    <t>Sarco A125 1/2"</t>
  </si>
  <si>
    <t>Sterling 7-50-A-1/2"</t>
  </si>
  <si>
    <t>Trane B1 W/Original Bellows - - (obsolete)</t>
  </si>
  <si>
    <t>Trane B1 W/Modern Trane Element</t>
  </si>
  <si>
    <t>Trane B1 W/B&amp;J Cage Unit</t>
  </si>
  <si>
    <t>Trane 1/2" (no number) - - (obsolete)</t>
  </si>
  <si>
    <t>Warren Webster 02H 1/2" W/B&amp;J Cage Unit</t>
  </si>
  <si>
    <t>Warren Webster 02H 1/2" W/Tunstall Capsule</t>
  </si>
  <si>
    <t>Warren Webster 512H 1/2" W/512A seat (5/16") - - (obsolete)</t>
  </si>
  <si>
    <t>Warren Webster 512H 1/2" W/512S seat (1/4") - - (obsolete)</t>
  </si>
  <si>
    <t>Warren Webster 512H 1/2" W/B&amp;J Cage Unit</t>
  </si>
  <si>
    <t>Warren Webster 712HB 1/2" W/H57 Seat (.368") - - (obsolete)</t>
  </si>
  <si>
    <t>Warren Webster 712 HB 1/2" W/522S Seat (.332") - - (obsolete)</t>
  </si>
  <si>
    <t>Warren Webster 712 HB 1/2" W/B&amp;J Cage Unit</t>
  </si>
  <si>
    <t>Barnes &amp; Jones 3/4" #134A</t>
  </si>
  <si>
    <t>Hoffman 8C 3/4"</t>
  </si>
  <si>
    <t>Mepco 3/4" 2E</t>
  </si>
  <si>
    <t>Monash #48 3/4"</t>
  </si>
  <si>
    <t>Sterling 3/4" #753A</t>
  </si>
  <si>
    <t>Spirax Sarco F&amp;T Traps (FT-15, FT-30, etc.)</t>
  </si>
  <si>
    <t>Hoffman F&amp;T Traps (FT015H, FT015C, etc.)</t>
  </si>
  <si>
    <t>Sterling F&amp;T Traps (vac. to 15 lb.)</t>
  </si>
  <si>
    <t>Barnes &amp; Jones F&amp;T Traps (vac. to 15 lb.)</t>
  </si>
  <si>
    <t>Vent Capacity(3oz)</t>
  </si>
  <si>
    <t>Vent Lines</t>
  </si>
  <si>
    <t>A</t>
  </si>
  <si>
    <t>B</t>
  </si>
  <si>
    <t>C</t>
  </si>
  <si>
    <t>D</t>
  </si>
  <si>
    <t>E</t>
  </si>
  <si>
    <t>G</t>
  </si>
  <si>
    <t>Single Pipe</t>
  </si>
  <si>
    <t>Vent/Trap Type</t>
  </si>
  <si>
    <t>STEAM TRAPS</t>
  </si>
  <si>
    <t>EDR Sqft</t>
  </si>
  <si>
    <t>Steam Density(lb/ft3)</t>
  </si>
  <si>
    <t>ft3/edr</t>
  </si>
  <si>
    <t>,</t>
  </si>
  <si>
    <t>Btu/hr</t>
  </si>
  <si>
    <t>Total EDR</t>
  </si>
  <si>
    <t>Sections list</t>
  </si>
  <si>
    <t>H</t>
  </si>
  <si>
    <t>I</t>
  </si>
  <si>
    <t>J</t>
  </si>
  <si>
    <t>K</t>
  </si>
  <si>
    <t>L</t>
  </si>
  <si>
    <t>M</t>
  </si>
  <si>
    <t>N</t>
  </si>
  <si>
    <t>O</t>
  </si>
  <si>
    <t>Condensate(lb/hr)</t>
  </si>
  <si>
    <t>100°F</t>
  </si>
  <si>
    <t>120°F</t>
  </si>
  <si>
    <t>150°F</t>
  </si>
  <si>
    <t>180°F</t>
  </si>
  <si>
    <t>210°F</t>
  </si>
  <si>
    <t>240°F</t>
  </si>
  <si>
    <t>1/2</t>
  </si>
  <si>
    <t>3/4</t>
  </si>
  <si>
    <t>1 1/4</t>
  </si>
  <si>
    <t>1 1/2</t>
  </si>
  <si>
    <t>2 1/2</t>
  </si>
  <si>
    <t>3 1/2</t>
  </si>
  <si>
    <t>BTU/linear ft</t>
  </si>
  <si>
    <t>in3/ft</t>
  </si>
  <si>
    <t>Pipe Size</t>
  </si>
  <si>
    <t>Branch Supply List</t>
  </si>
  <si>
    <t>AA</t>
  </si>
  <si>
    <t>BB</t>
  </si>
  <si>
    <t>CC</t>
  </si>
  <si>
    <t>DD</t>
  </si>
  <si>
    <t>EE</t>
  </si>
  <si>
    <t>FF</t>
  </si>
  <si>
    <t>GG</t>
  </si>
  <si>
    <t>HH</t>
  </si>
  <si>
    <t>II</t>
  </si>
  <si>
    <t>JJ</t>
  </si>
  <si>
    <t>KK</t>
  </si>
  <si>
    <t>LL</t>
  </si>
  <si>
    <t>Supply Line List</t>
  </si>
  <si>
    <t>Pressur Drop</t>
  </si>
  <si>
    <t>ID(in)</t>
  </si>
  <si>
    <t>Radiator Pressure(PSI)</t>
  </si>
  <si>
    <t>Pipe Radiation(BTU/hr)</t>
  </si>
  <si>
    <t>Pipe Volume(ft3)</t>
  </si>
  <si>
    <t>Total Vol(ft3)</t>
  </si>
  <si>
    <t>Min PSI</t>
  </si>
  <si>
    <t>Boiler Manufacturer</t>
  </si>
  <si>
    <t>Boiler Model</t>
  </si>
  <si>
    <t>Water @ Waterline(gal)</t>
  </si>
  <si>
    <t>BOILER CALCULATIONS</t>
  </si>
  <si>
    <t>STEAM MAINS CALCULATIONS</t>
  </si>
  <si>
    <t>Riser Size(Schd40)</t>
  </si>
  <si>
    <t>4</t>
  </si>
  <si>
    <t>Water@Waterline(gal)</t>
  </si>
  <si>
    <t>Riser Count</t>
  </si>
  <si>
    <t>Operating Pressure(PSIG)</t>
  </si>
  <si>
    <t>Main Diameter(Schd40)</t>
  </si>
  <si>
    <t>6</t>
  </si>
  <si>
    <t>Enthalpy(BTU/LB)</t>
  </si>
  <si>
    <t>Main Length(ft)</t>
  </si>
  <si>
    <t>Riser Velocity(fps)</t>
  </si>
  <si>
    <t>Steam Rate(Lb/HR)</t>
  </si>
  <si>
    <t>Main Velocity</t>
  </si>
  <si>
    <t>Time to Steam(min)</t>
  </si>
  <si>
    <t>Schd 40 Pipe stats</t>
  </si>
  <si>
    <t>Area(ft2)</t>
  </si>
  <si>
    <t>List generator</t>
  </si>
  <si>
    <t>1</t>
  </si>
  <si>
    <t>2</t>
  </si>
  <si>
    <t>3</t>
  </si>
  <si>
    <t>5</t>
  </si>
  <si>
    <t>BTU/ft @ 210°F</t>
  </si>
  <si>
    <t>Main end pressure(psig)</t>
  </si>
  <si>
    <t>Supply Pipe Size</t>
  </si>
  <si>
    <t>Heat Load(%)</t>
  </si>
  <si>
    <t>Boiler Duty Cycle</t>
  </si>
  <si>
    <t>VENT CALCULATIONS</t>
  </si>
  <si>
    <t>Main Vol(ft3)</t>
  </si>
  <si>
    <t>Radiator Vol(ft3)</t>
  </si>
  <si>
    <t>linear ft3/ft</t>
  </si>
  <si>
    <t>Upfeed Vol(ft3)</t>
  </si>
  <si>
    <t>Total Rad Vent(cfm)</t>
  </si>
  <si>
    <t>Main Vent</t>
  </si>
  <si>
    <t>Main Vent Count</t>
  </si>
  <si>
    <t>Main Vent Cap(cfm)</t>
  </si>
  <si>
    <t>Time to Vent(min)</t>
  </si>
  <si>
    <t>Relavent Calculations</t>
  </si>
  <si>
    <t>Time to Steam(minutes)</t>
  </si>
  <si>
    <t>Time to Vent(minutes)</t>
  </si>
  <si>
    <t>RADIATION CALCULATIONS</t>
  </si>
  <si>
    <t>Radiators(BTU/HR)</t>
  </si>
  <si>
    <t>Radiator Condensate(lbs/hr)</t>
  </si>
  <si>
    <t>Upfeed(BTU/HR)</t>
  </si>
  <si>
    <t>Upfeed Condensate(lb/hr)</t>
  </si>
  <si>
    <t>Pipe Condensate(lb/hr)</t>
  </si>
  <si>
    <t>Main Condensate(lb/hr)</t>
  </si>
  <si>
    <t>Total Radiation(BTU/HR)</t>
  </si>
  <si>
    <t>Total condensate(lb/hr)</t>
  </si>
  <si>
    <t>Main Radiation(BTU/HR)</t>
  </si>
  <si>
    <t>Min Radiator Pressure(psig)</t>
  </si>
  <si>
    <t>Upfeed Length(ft)</t>
  </si>
  <si>
    <t>Section Weight(lbs)</t>
  </si>
  <si>
    <t>Boiler Information</t>
  </si>
  <si>
    <t>Dimensions</t>
  </si>
  <si>
    <t>Sections</t>
  </si>
  <si>
    <t>10-1/2 X 20-1/2</t>
  </si>
  <si>
    <t>Cols/Tubes/(WxL)</t>
  </si>
  <si>
    <t>Radiator Calcuations</t>
  </si>
  <si>
    <t>Tube Radiators</t>
  </si>
  <si>
    <t>Convectors</t>
  </si>
  <si>
    <t>Copper Cabinets</t>
  </si>
  <si>
    <t>Gross Power Output(BTU/HR)</t>
  </si>
  <si>
    <t>Rated Power Input(BTU/HR)</t>
  </si>
  <si>
    <t>6-1/2 X 64-1/2</t>
  </si>
  <si>
    <t>Address:</t>
  </si>
  <si>
    <t>Input</t>
  </si>
  <si>
    <t>Output</t>
  </si>
  <si>
    <t>Gross BTU/HR</t>
  </si>
  <si>
    <t>Radiator Output(EDR)</t>
  </si>
  <si>
    <t>TOTAL RADIATION (BTU/HR)</t>
  </si>
  <si>
    <t>Steam Main Output(EDR)</t>
  </si>
  <si>
    <t>Steam Upfeed Output(EDR)</t>
  </si>
  <si>
    <t>Total System Volume(ft3)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</si>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</sst>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i/>
      <sz val="11"/>
      <color theme="1"/>
      <name val="Aptos Narrow"/>
      <family val="2"/>
      <scheme val="minor"/>
    </font>
    <font>
      <b/>
      <i/>
      <vertAlign val="superscript"/>
      <sz val="11"/>
      <color theme="1"/>
      <name val="Aptos Narrow"/>
      <family val="2"/>
      <scheme val="minor"/>
    </font>
    <font>
      <sz val="9"/>
      <color rgb="FF595959"/>
      <name val="Aptos Narrow"/>
      <family val="2"/>
      <scheme val="minor"/>
    </font>
    <font>
      <b/>
      <sz val="11"/>
      <color rgb="FFFFFFFF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rgb="FFFFFFFF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F2F5F8"/>
        <bgColor rgb="FFF2F5F8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4C7C5"/>
      </left>
      <right style="medium">
        <color rgb="FFC4C7C5"/>
      </right>
      <top style="medium">
        <color rgb="FFC4C7C5"/>
      </top>
      <bottom style="medium">
        <color rgb="FFC4C7C5"/>
      </bottom>
      <diagonal/>
    </border>
    <border>
      <left/>
      <right/>
      <top/>
      <bottom style="medium">
        <color rgb="FFC4C7C5"/>
      </bottom>
      <diagonal/>
    </border>
    <border>
      <left style="medium">
        <color rgb="FFC4C7C5"/>
      </left>
      <right style="medium">
        <color rgb="FFC4C7C5"/>
      </right>
      <top/>
      <bottom/>
      <diagonal/>
    </border>
    <border>
      <left style="medium">
        <color rgb="FFC4C7C5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9" fontId="0" fillId="0" borderId="0" xfId="1" applyFont="1"/>
    <xf numFmtId="1" fontId="0" fillId="0" borderId="0" xfId="0" applyNumberFormat="1"/>
    <xf numFmtId="0" fontId="0" fillId="2" borderId="0" xfId="0" applyFill="1"/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left"/>
    </xf>
    <xf numFmtId="165" fontId="9" fillId="5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left"/>
    </xf>
    <xf numFmtId="165" fontId="9" fillId="6" borderId="1" xfId="0" applyNumberFormat="1" applyFont="1" applyFill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0" fillId="3" borderId="4" xfId="0" applyFill="1" applyBorder="1"/>
    <xf numFmtId="0" fontId="0" fillId="0" borderId="5" xfId="0" applyBorder="1"/>
    <xf numFmtId="0" fontId="0" fillId="0" borderId="6" xfId="0" applyBorder="1"/>
    <xf numFmtId="0" fontId="0" fillId="3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0" xfId="0" applyFill="1" applyBorder="1"/>
    <xf numFmtId="166" fontId="0" fillId="0" borderId="5" xfId="0" applyNumberFormat="1" applyBorder="1"/>
    <xf numFmtId="0" fontId="1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49" fontId="13" fillId="0" borderId="10" xfId="0" applyNumberFormat="1" applyFont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0" fillId="7" borderId="2" xfId="0" applyFill="1" applyBorder="1"/>
    <xf numFmtId="165" fontId="0" fillId="0" borderId="0" xfId="0" applyNumberFormat="1"/>
    <xf numFmtId="0" fontId="0" fillId="0" borderId="0" xfId="0" applyAlignment="1">
      <alignment horizontal="right"/>
    </xf>
    <xf numFmtId="0" fontId="15" fillId="2" borderId="0" xfId="2" applyFont="1" applyFill="1"/>
    <xf numFmtId="1" fontId="0" fillId="0" borderId="0" xfId="0" applyNumberFormat="1" applyAlignment="1">
      <alignment horizontal="right"/>
    </xf>
    <xf numFmtId="164" fontId="0" fillId="0" borderId="0" xfId="0" applyNumberFormat="1" applyFont="1"/>
    <xf numFmtId="49" fontId="0" fillId="0" borderId="0" xfId="0" applyNumberFormat="1"/>
    <xf numFmtId="1" fontId="4" fillId="0" borderId="0" xfId="0" applyNumberFormat="1" applyFont="1"/>
    <xf numFmtId="0" fontId="4" fillId="3" borderId="0" xfId="0" applyFont="1" applyFill="1"/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2" borderId="0" xfId="0" applyFont="1" applyFill="1"/>
    <xf numFmtId="0" fontId="0" fillId="0" borderId="0" xfId="0" applyBorder="1"/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0" fillId="0" borderId="16" xfId="0" applyNumberFormat="1" applyBorder="1"/>
    <xf numFmtId="0" fontId="0" fillId="0" borderId="15" xfId="0" applyFill="1" applyBorder="1"/>
    <xf numFmtId="0" fontId="0" fillId="0" borderId="17" xfId="0" applyFill="1" applyBorder="1"/>
    <xf numFmtId="164" fontId="0" fillId="0" borderId="6" xfId="0" applyNumberFormat="1" applyBorder="1"/>
    <xf numFmtId="164" fontId="0" fillId="0" borderId="16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2927230971128609"/>
                  <c:y val="1.6703120443277923E-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SteamProperties!$H$4:$H$5</c:f>
              <c:numCache>
                <c:formatCode>General</c:formatCode>
                <c:ptCount val="2"/>
                <c:pt idx="0">
                  <c:v>3.968253968253968E-2</c:v>
                </c:pt>
                <c:pt idx="1">
                  <c:v>4.2553191489361701E-2</c:v>
                </c:pt>
              </c:numCache>
            </c:numRef>
          </c:xVal>
          <c:yVal>
            <c:numRef>
              <c:f>SteamProperties!$I$4:$I$5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SteamProperties!#REF!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53160176"/>
        <c:axId val="-453159632"/>
      </c:scatterChart>
      <c:valAx>
        <c:axId val="-45316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59632"/>
        <c:crosses val="autoZero"/>
        <c:crossBetween val="midCat"/>
      </c:valAx>
      <c:valAx>
        <c:axId val="-45315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60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SteamProperties!$E$3</c:f>
              <c:strCache>
                <c:ptCount val="1"/>
                <c:pt idx="0">
                  <c:v>(Btu/lb)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7366666666666666"/>
                  <c:y val="-0.49333770778652669"/>
                </c:manualLayout>
              </c:layout>
              <c:numFmt formatCode="#,##0.00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SteamProperties!$A$4:$A$11</c:f>
              <c:numCache>
                <c:formatCode>General</c:formatCode>
                <c:ptCount val="8"/>
                <c:pt idx="0">
                  <c:v>-2.456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xVal>
          <c:yVal>
            <c:numRef>
              <c:f>SteamProperties!$E$4:$E$11</c:f>
              <c:numCache>
                <c:formatCode>General</c:formatCode>
                <c:ptCount val="8"/>
                <c:pt idx="0">
                  <c:v>976</c:v>
                </c:pt>
                <c:pt idx="1">
                  <c:v>970</c:v>
                </c:pt>
                <c:pt idx="2">
                  <c:v>968</c:v>
                </c:pt>
                <c:pt idx="3">
                  <c:v>966</c:v>
                </c:pt>
                <c:pt idx="4">
                  <c:v>964</c:v>
                </c:pt>
                <c:pt idx="5">
                  <c:v>962</c:v>
                </c:pt>
                <c:pt idx="6">
                  <c:v>960</c:v>
                </c:pt>
                <c:pt idx="7">
                  <c:v>959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53154736"/>
        <c:axId val="-453158544"/>
      </c:scatterChart>
      <c:valAx>
        <c:axId val="-453154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58544"/>
        <c:crosses val="autoZero"/>
        <c:crossBetween val="midCat"/>
      </c:valAx>
      <c:valAx>
        <c:axId val="-4531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54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SteamProperties!$C$3</c:f>
              <c:strCache>
                <c:ptCount val="1"/>
                <c:pt idx="0">
                  <c:v>ft3/lb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7800918635170604"/>
                  <c:y val="-0.1764813900107505"/>
                </c:manualLayout>
              </c:layout>
              <c:numFmt formatCode="#,##0.000000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SteamProperties!$A$4:$A$11</c:f>
              <c:numCache>
                <c:formatCode>General</c:formatCode>
                <c:ptCount val="8"/>
                <c:pt idx="0">
                  <c:v>-2.456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</c:numCache>
            </c:numRef>
          </c:xVal>
          <c:yVal>
            <c:numRef>
              <c:f>SteamProperties!$C$4:$C$11</c:f>
              <c:numCache>
                <c:formatCode>General</c:formatCode>
                <c:ptCount val="8"/>
                <c:pt idx="0">
                  <c:v>31.8</c:v>
                </c:pt>
                <c:pt idx="1">
                  <c:v>26.8</c:v>
                </c:pt>
                <c:pt idx="2">
                  <c:v>25.2</c:v>
                </c:pt>
                <c:pt idx="3">
                  <c:v>23.5</c:v>
                </c:pt>
                <c:pt idx="4">
                  <c:v>22.3</c:v>
                </c:pt>
                <c:pt idx="5">
                  <c:v>21.4</c:v>
                </c:pt>
                <c:pt idx="6">
                  <c:v>20.100000000000001</c:v>
                </c:pt>
                <c:pt idx="7">
                  <c:v>19.399999999999999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53154192"/>
        <c:axId val="-453153648"/>
      </c:scatterChart>
      <c:valAx>
        <c:axId val="-453154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53648"/>
        <c:crosses val="autoZero"/>
        <c:crossBetween val="midCat"/>
      </c:valAx>
      <c:valAx>
        <c:axId val="-45315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53154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78318</xdr:colOff>
      <xdr:row>1</xdr:row>
      <xdr:rowOff>95486</xdr:rowOff>
    </xdr:from>
    <xdr:to>
      <xdr:col>12</xdr:col>
      <xdr:colOff>535518</xdr:colOff>
      <xdr:row>9</xdr:row>
      <xdr:rowOff>71497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6088"/>
        <a:stretch/>
      </xdr:blipFill>
      <xdr:spPr>
        <a:xfrm>
          <a:off x="8092253" y="271875"/>
          <a:ext cx="2432756" cy="1387122"/>
        </a:xfrm>
        <a:prstGeom prst="rect">
          <a:avLst/>
        </a:prstGeom>
      </xdr:spPr>
    </xdr:pic>
    <xdr:clientData/>
  </xdr:twoCellAnchor>
  <xdr:twoCellAnchor editAs="oneCell">
    <xdr:from>
      <xdr:col>9</xdr:col>
      <xdr:colOff>446852</xdr:colOff>
      <xdr:row>10</xdr:row>
      <xdr:rowOff>30573</xdr:rowOff>
    </xdr:from>
    <xdr:to>
      <xdr:col>13</xdr:col>
      <xdr:colOff>197555</xdr:colOff>
      <xdr:row>21</xdr:row>
      <xdr:rowOff>87017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12" r="14115" b="51475"/>
        <a:stretch/>
      </xdr:blipFill>
      <xdr:spPr>
        <a:xfrm>
          <a:off x="8460787" y="1794462"/>
          <a:ext cx="2384777" cy="1996722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127001</xdr:colOff>
      <xdr:row>25</xdr:row>
      <xdr:rowOff>141111</xdr:rowOff>
    </xdr:from>
    <xdr:to>
      <xdr:col>10</xdr:col>
      <xdr:colOff>128647</xdr:colOff>
      <xdr:row>36</xdr:row>
      <xdr:rowOff>55033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7445" y="4374444"/>
          <a:ext cx="1504950" cy="1854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620417</xdr:colOff>
      <xdr:row>37</xdr:row>
      <xdr:rowOff>292571</xdr:rowOff>
    </xdr:from>
    <xdr:to>
      <xdr:col>17</xdr:col>
      <xdr:colOff>39039</xdr:colOff>
      <xdr:row>47</xdr:row>
      <xdr:rowOff>173909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1879"/>
        <a:stretch/>
      </xdr:blipFill>
      <xdr:spPr>
        <a:xfrm>
          <a:off x="8818267" y="6871171"/>
          <a:ext cx="4866922" cy="1837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3</xdr:row>
      <xdr:rowOff>0</xdr:rowOff>
    </xdr:from>
    <xdr:to>
      <xdr:col>16</xdr:col>
      <xdr:colOff>635000</xdr:colOff>
      <xdr:row>14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0</xdr:row>
      <xdr:rowOff>44450</xdr:rowOff>
    </xdr:from>
    <xdr:to>
      <xdr:col>13</xdr:col>
      <xdr:colOff>422275</xdr:colOff>
      <xdr:row>7</xdr:row>
      <xdr:rowOff>120650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228600</xdr:colOff>
      <xdr:row>9</xdr:row>
      <xdr:rowOff>6350</xdr:rowOff>
    </xdr:from>
    <xdr:to>
      <xdr:col>18</xdr:col>
      <xdr:colOff>177800</xdr:colOff>
      <xdr:row>28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184150</xdr:colOff>
      <xdr:row>42</xdr:row>
      <xdr:rowOff>82550</xdr:rowOff>
    </xdr:from>
    <xdr:to>
      <xdr:col>9</xdr:col>
      <xdr:colOff>1113624</xdr:colOff>
      <xdr:row>58</xdr:row>
      <xdr:rowOff>104417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50" y="8394700"/>
          <a:ext cx="6409524" cy="28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3213783DD2A94C3/STEAMNOW/SteamBoilerSim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oiler"/>
      <sheetName val="Calculations"/>
    </sheetNames>
    <sheetDataSet>
      <sheetData sheetId="0"/>
      <sheetData sheetId="1"/>
      <sheetData sheetId="2">
        <row r="4">
          <cell r="B4" t="str">
            <v>1/2</v>
          </cell>
          <cell r="C4">
            <v>0.66200000000000003</v>
          </cell>
          <cell r="D4">
            <v>2.3902502272218846E-3</v>
          </cell>
        </row>
        <row r="5">
          <cell r="B5" t="str">
            <v>3/4</v>
          </cell>
          <cell r="C5">
            <v>0.82399999999999995</v>
          </cell>
          <cell r="D5">
            <v>3.7032396068815677E-3</v>
          </cell>
        </row>
        <row r="6">
          <cell r="B6" t="str">
            <v>1</v>
          </cell>
          <cell r="C6">
            <v>1.0489999999999999</v>
          </cell>
          <cell r="D6">
            <v>6.0017564194494132E-3</v>
          </cell>
        </row>
        <row r="7">
          <cell r="B7" t="str">
            <v>1 1/4</v>
          </cell>
          <cell r="C7">
            <v>1.38</v>
          </cell>
          <cell r="D7">
            <v>1.0386890710931251E-2</v>
          </cell>
        </row>
        <row r="8">
          <cell r="B8" t="str">
            <v>1 1/2</v>
          </cell>
          <cell r="C8">
            <v>1.61</v>
          </cell>
          <cell r="D8">
            <v>1.4137712356545318E-2</v>
          </cell>
        </row>
        <row r="9">
          <cell r="B9" t="str">
            <v>2</v>
          </cell>
          <cell r="C9">
            <v>2.0670000000000002</v>
          </cell>
          <cell r="D9">
            <v>2.3302812595387509E-2</v>
          </cell>
        </row>
        <row r="10">
          <cell r="B10" t="str">
            <v>2 1/2</v>
          </cell>
          <cell r="C10">
            <v>2.4689999999999999</v>
          </cell>
          <cell r="D10">
            <v>3.3248309538489382E-2</v>
          </cell>
        </row>
        <row r="11">
          <cell r="B11" t="str">
            <v>3</v>
          </cell>
          <cell r="C11">
            <v>3.0680000000000001</v>
          </cell>
          <cell r="D11">
            <v>5.1337900016324614E-2</v>
          </cell>
        </row>
        <row r="12">
          <cell r="B12" t="str">
            <v>3 1/2</v>
          </cell>
          <cell r="C12">
            <v>3.548</v>
          </cell>
          <cell r="D12">
            <v>6.8658547513116341E-2</v>
          </cell>
        </row>
        <row r="13">
          <cell r="B13" t="str">
            <v>4</v>
          </cell>
          <cell r="C13">
            <v>4.0259999999999998</v>
          </cell>
          <cell r="D13">
            <v>8.8404613621557618E-2</v>
          </cell>
        </row>
        <row r="14">
          <cell r="B14" t="str">
            <v>4 1/2</v>
          </cell>
          <cell r="C14">
            <v>4.5060000000000002</v>
          </cell>
          <cell r="D14">
            <v>0.11074133738858108</v>
          </cell>
        </row>
        <row r="15">
          <cell r="B15" t="str">
            <v>5</v>
          </cell>
          <cell r="C15">
            <v>5.0469999999999997</v>
          </cell>
          <cell r="D15">
            <v>0.13892934837691631</v>
          </cell>
        </row>
        <row r="16">
          <cell r="B16" t="str">
            <v>6</v>
          </cell>
          <cell r="C16">
            <v>6.0650000000000004</v>
          </cell>
          <cell r="D16">
            <v>0.20062682470137852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ter@Waterline(gal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26" sqref="B26"/>
    </sheetView>
  </sheetViews>
  <sheetFormatPr defaultRowHeight="14"/>
  <cols>
    <col min="2" max="2" width="23.5" bestFit="1" customWidth="1"/>
    <col min="6" max="6" width="20.5" bestFit="1" customWidth="1"/>
    <col min="7" max="7" width="13.08203125" customWidth="1"/>
    <col min="10" max="10" width="17.1640625" bestFit="1" customWidth="1"/>
    <col min="11" max="11" width="12.33203125" customWidth="1"/>
  </cols>
  <sheetData>
    <row r="1" spans="1:11">
      <c r="A1" s="58" t="s">
        <v>380</v>
      </c>
      <c r="B1" s="55" t="s">
        <v>314</v>
      </c>
      <c r="C1" s="55"/>
      <c r="F1" s="55" t="s">
        <v>315</v>
      </c>
      <c r="G1" s="55"/>
      <c r="J1" s="55" t="s">
        <v>341</v>
      </c>
      <c r="K1" s="55"/>
    </row>
    <row r="2" spans="1:11">
      <c r="A2" s="4" t="s">
        <v>381</v>
      </c>
      <c r="B2" s="3" t="s">
        <v>382</v>
      </c>
      <c r="C2">
        <v>300000</v>
      </c>
      <c r="F2" s="3" t="s">
        <v>316</v>
      </c>
      <c r="G2" s="47" t="s">
        <v>322</v>
      </c>
      <c r="J2" s="4" t="s">
        <v>342</v>
      </c>
      <c r="K2" s="2">
        <f>VLOOKUP(G4,Calculations!B4:F15,5,FALSE)*G5</f>
        <v>19.635416666666668</v>
      </c>
    </row>
    <row r="3" spans="1:11">
      <c r="B3" s="48" t="s">
        <v>318</v>
      </c>
      <c r="C3">
        <v>30</v>
      </c>
      <c r="F3" s="3" t="s">
        <v>319</v>
      </c>
      <c r="G3" s="47">
        <v>1</v>
      </c>
      <c r="J3" s="4" t="s">
        <v>343</v>
      </c>
      <c r="K3" s="6">
        <f>SUM(Radiators!K:K)</f>
        <v>0.60106999999999999</v>
      </c>
    </row>
    <row r="4" spans="1:11">
      <c r="B4" s="3" t="s">
        <v>320</v>
      </c>
      <c r="C4">
        <v>0.15</v>
      </c>
      <c r="F4" s="3" t="s">
        <v>321</v>
      </c>
      <c r="G4" s="47" t="s">
        <v>322</v>
      </c>
      <c r="J4" s="4" t="s">
        <v>345</v>
      </c>
      <c r="K4" s="6">
        <f>SUM(Radiators!P:P)</f>
        <v>0.35416666666666663</v>
      </c>
    </row>
    <row r="5" spans="1:11">
      <c r="B5" s="3" t="s">
        <v>366</v>
      </c>
      <c r="C5">
        <v>880</v>
      </c>
      <c r="F5" s="3" t="s">
        <v>324</v>
      </c>
      <c r="G5">
        <v>100</v>
      </c>
      <c r="J5" s="4" t="s">
        <v>309</v>
      </c>
      <c r="K5" s="6">
        <f>SUM(K2:K4)</f>
        <v>20.590653333333336</v>
      </c>
    </row>
    <row r="6" spans="1:11">
      <c r="B6" s="4" t="s">
        <v>323</v>
      </c>
      <c r="C6" s="6">
        <f>0.12181134457208*C4^2 - 2.22889109575323*C4 + 969.019125709492</f>
        <v>968.68753280038186</v>
      </c>
      <c r="F6" s="4" t="s">
        <v>325</v>
      </c>
      <c r="G6" s="49">
        <f>C8/C7/60/60/(VLOOKUP(G2,[1]Calculations!B4:D16,3,FALSE)*G3)</f>
        <v>11.395451232157471</v>
      </c>
      <c r="J6" s="4" t="s">
        <v>346</v>
      </c>
      <c r="K6" s="6">
        <f>SUM(Radiators!J:J)</f>
        <v>3.36</v>
      </c>
    </row>
    <row r="7" spans="1:11">
      <c r="B7" s="4" t="s">
        <v>260</v>
      </c>
      <c r="C7" s="46">
        <f xml:space="preserve"> 1/(0.0914413301386432*C4^2- 1.7851849026535*C4 + 26.84146744263)</f>
        <v>3.76282930010923E-2</v>
      </c>
      <c r="F7" s="4" t="s">
        <v>327</v>
      </c>
      <c r="G7" s="49">
        <f>C8/C7/60/60/(VLOOKUP(G4,[1]Calculations!B4:D16,3,FALSE))</f>
        <v>11.395451232157471</v>
      </c>
      <c r="J7" s="3" t="s">
        <v>347</v>
      </c>
      <c r="K7" t="s">
        <v>61</v>
      </c>
    </row>
    <row r="8" spans="1:11">
      <c r="B8" s="4" t="s">
        <v>326</v>
      </c>
      <c r="C8" s="6">
        <f>C2/C6</f>
        <v>309.69738934569443</v>
      </c>
      <c r="F8" s="4" t="s">
        <v>337</v>
      </c>
      <c r="G8" s="5">
        <f>C4-0.0001306*C8^2 * G5*(1+3.6/VLOOKUP(G4,Calculations!B4:F15,2,FALSE))/(3600*Main!C7*VLOOKUP(G4,Calculations!B4:F15,2,FALSE)^5)</f>
        <v>0.14820436411902377</v>
      </c>
      <c r="J8" s="3" t="s">
        <v>348</v>
      </c>
      <c r="K8" s="47">
        <v>5</v>
      </c>
    </row>
    <row r="9" spans="1:11">
      <c r="B9" s="4" t="s">
        <v>328</v>
      </c>
      <c r="C9" s="50">
        <f>C3*(212-60)*8.34/C2*60+(0.132*C5*(212-60))/C2*60</f>
        <v>11.137344000000001</v>
      </c>
      <c r="J9" s="4" t="s">
        <v>349</v>
      </c>
      <c r="K9">
        <f>IFERROR(K8*VLOOKUP(K7,VentList!A2:D37,4,FALSE),0)</f>
        <v>11</v>
      </c>
    </row>
    <row r="10" spans="1:11">
      <c r="B10" s="4" t="s">
        <v>340</v>
      </c>
      <c r="C10" s="1">
        <f>Radiators!R2/Main!C2</f>
        <v>0.16525333333333334</v>
      </c>
      <c r="J10" s="4" t="s">
        <v>350</v>
      </c>
      <c r="K10" s="6">
        <f>K5/MIN(K9,K6)</f>
        <v>6.128170634920636</v>
      </c>
    </row>
    <row r="15" spans="1:11">
      <c r="B15" s="55" t="s">
        <v>354</v>
      </c>
      <c r="C15" s="55"/>
    </row>
    <row r="16" spans="1:11">
      <c r="B16" s="4" t="s">
        <v>355</v>
      </c>
      <c r="C16">
        <f>SUM(Radiators!I:I)</f>
        <v>40536</v>
      </c>
    </row>
    <row r="17" spans="2:3">
      <c r="B17" s="4" t="s">
        <v>356</v>
      </c>
      <c r="C17" s="2">
        <f>SUM(Radiators!N:N)</f>
        <v>40.657973921765297</v>
      </c>
    </row>
    <row r="18" spans="2:3">
      <c r="B18" s="4" t="s">
        <v>357</v>
      </c>
      <c r="C18">
        <f>SUM(Radiators!O:O)</f>
        <v>9040</v>
      </c>
    </row>
    <row r="19" spans="2:3">
      <c r="B19" s="4" t="s">
        <v>358</v>
      </c>
      <c r="C19" s="2">
        <f>SUM(Radiators!Q:Q)</f>
        <v>41.789690721649478</v>
      </c>
    </row>
    <row r="20" spans="2:3">
      <c r="B20" s="4" t="s">
        <v>363</v>
      </c>
      <c r="C20" s="2">
        <f>VLOOKUP(G4,Calculations!B4:F15,4,FALSE)*G5</f>
        <v>54600</v>
      </c>
    </row>
    <row r="21" spans="2:3">
      <c r="B21" s="4" t="s">
        <v>360</v>
      </c>
      <c r="C21" s="2">
        <f>VLOOKUP(G4,Calculations!B4:F15,4,FALSE)*G5/C6</f>
        <v>56.364924860916382</v>
      </c>
    </row>
    <row r="22" spans="2:3">
      <c r="B22" s="53" t="s">
        <v>361</v>
      </c>
      <c r="C22" s="52">
        <f>C16+C18+C20</f>
        <v>104176</v>
      </c>
    </row>
    <row r="23" spans="2:3">
      <c r="B23" s="53" t="s">
        <v>362</v>
      </c>
      <c r="C23" s="52">
        <f>C17+C19+C21</f>
        <v>138.81258950433116</v>
      </c>
    </row>
    <row r="24" spans="2:3">
      <c r="B24" s="4" t="s">
        <v>364</v>
      </c>
      <c r="C24">
        <f>Radiators!T2</f>
        <v>0.14188751998467344</v>
      </c>
    </row>
  </sheetData>
  <mergeCells count="4">
    <mergeCell ref="B1:C1"/>
    <mergeCell ref="F1:G1"/>
    <mergeCell ref="J1:K1"/>
    <mergeCell ref="B15:C15"/>
  </mergeCells>
  <hyperlinks>
    <hyperlink ref="B3" r:id="rId1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Calculations!$B$3:$B$16</xm:f>
          </x14:formula1>
          <xm:sqref>G2 G4</xm:sqref>
        </x14:dataValidation>
        <x14:dataValidation type="list" allowBlank="1" showInputMessage="1" showErrorMessage="1">
          <x14:formula1>
            <xm:f>Calculations!$O$4:$O$14</xm:f>
          </x14:formula1>
          <xm:sqref>G3 K8</xm:sqref>
        </x14:dataValidation>
        <x14:dataValidation type="list" allowBlank="1" showInputMessage="1" showErrorMessage="1">
          <x14:formula1>
            <xm:f>VentList!$A$2:$A$37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E1" zoomScaleNormal="108" workbookViewId="0">
      <selection activeCell="Q7" sqref="Q7"/>
    </sheetView>
  </sheetViews>
  <sheetFormatPr defaultRowHeight="14"/>
  <cols>
    <col min="1" max="1" width="14" bestFit="1" customWidth="1"/>
    <col min="2" max="2" width="24.08203125" bestFit="1" customWidth="1"/>
    <col min="3" max="3" width="11.4140625" bestFit="1" customWidth="1"/>
    <col min="4" max="4" width="14.58203125" bestFit="1" customWidth="1"/>
    <col min="5" max="5" width="12.6640625" bestFit="1" customWidth="1"/>
    <col min="6" max="6" width="11.75" bestFit="1" customWidth="1"/>
    <col min="7" max="7" width="11.25" bestFit="1" customWidth="1"/>
    <col min="8" max="8" width="6.58203125" bestFit="1" customWidth="1"/>
    <col min="9" max="9" width="4.4140625" bestFit="1" customWidth="1"/>
    <col min="17" max="17" width="10.83203125" bestFit="1" customWidth="1"/>
  </cols>
  <sheetData>
    <row r="1" spans="1:17">
      <c r="B1" t="s">
        <v>1</v>
      </c>
    </row>
    <row r="2" spans="1:17">
      <c r="B2" t="s">
        <v>2</v>
      </c>
      <c r="C2" t="s">
        <v>25</v>
      </c>
      <c r="H2" t="b">
        <f>IF(B2="Copper Cabinet",INDEX(RadCompList!$E$39:$J$78,MATCH(C2,RadCompList!$B$28),MATCH(Radiators!D2,RadCompList!$C$27:$D$27)))</f>
        <v>0</v>
      </c>
      <c r="P2" s="11" t="s">
        <v>24</v>
      </c>
      <c r="Q2" t="s">
        <v>261</v>
      </c>
    </row>
    <row r="3" spans="1:17">
      <c r="A3" t="s">
        <v>3</v>
      </c>
      <c r="B3" t="s">
        <v>4</v>
      </c>
      <c r="C3">
        <v>1</v>
      </c>
      <c r="D3">
        <v>2</v>
      </c>
      <c r="E3">
        <v>3</v>
      </c>
      <c r="F3">
        <v>4</v>
      </c>
      <c r="G3">
        <v>5</v>
      </c>
      <c r="H3">
        <v>1</v>
      </c>
      <c r="P3" t="s">
        <v>4</v>
      </c>
      <c r="Q3">
        <v>2.5000000000000001E-2</v>
      </c>
    </row>
    <row r="4" spans="1:17">
      <c r="A4" t="s">
        <v>4</v>
      </c>
      <c r="B4">
        <v>13</v>
      </c>
      <c r="C4" t="s">
        <v>30</v>
      </c>
      <c r="D4" t="s">
        <v>30</v>
      </c>
      <c r="E4" t="s">
        <v>30</v>
      </c>
      <c r="F4" t="s">
        <v>30</v>
      </c>
      <c r="G4">
        <v>3</v>
      </c>
      <c r="H4">
        <v>2</v>
      </c>
      <c r="P4" t="s">
        <v>5</v>
      </c>
      <c r="Q4">
        <v>1.2999999999999999E-2</v>
      </c>
    </row>
    <row r="5" spans="1:17">
      <c r="A5" t="s">
        <v>4</v>
      </c>
      <c r="B5">
        <v>16</v>
      </c>
      <c r="C5" t="s">
        <v>30</v>
      </c>
      <c r="D5" t="s">
        <v>30</v>
      </c>
      <c r="E5" t="s">
        <v>30</v>
      </c>
      <c r="F5" t="s">
        <v>30</v>
      </c>
      <c r="G5">
        <v>3.75</v>
      </c>
      <c r="H5">
        <v>3</v>
      </c>
      <c r="P5" t="s">
        <v>6</v>
      </c>
      <c r="Q5">
        <v>2.9999999999999997E-4</v>
      </c>
    </row>
    <row r="6" spans="1:17">
      <c r="A6" t="s">
        <v>4</v>
      </c>
      <c r="B6">
        <v>18</v>
      </c>
      <c r="C6" t="s">
        <v>30</v>
      </c>
      <c r="D6" t="s">
        <v>30</v>
      </c>
      <c r="E6">
        <v>2.25</v>
      </c>
      <c r="F6">
        <v>3</v>
      </c>
      <c r="G6">
        <v>4.25</v>
      </c>
      <c r="H6">
        <v>4</v>
      </c>
      <c r="P6" t="s">
        <v>23</v>
      </c>
      <c r="Q6">
        <v>2.9999999999999997E-4</v>
      </c>
    </row>
    <row r="7" spans="1:17">
      <c r="A7" t="s">
        <v>4</v>
      </c>
      <c r="B7">
        <v>20</v>
      </c>
      <c r="C7">
        <v>1.5</v>
      </c>
      <c r="D7">
        <v>2</v>
      </c>
      <c r="E7" t="s">
        <v>30</v>
      </c>
      <c r="F7" t="s">
        <v>30</v>
      </c>
      <c r="G7">
        <v>5</v>
      </c>
      <c r="H7">
        <v>5</v>
      </c>
    </row>
    <row r="8" spans="1:17">
      <c r="A8" t="s">
        <v>4</v>
      </c>
      <c r="B8">
        <v>22</v>
      </c>
      <c r="C8" t="s">
        <v>30</v>
      </c>
      <c r="D8" t="s">
        <v>30</v>
      </c>
      <c r="E8">
        <v>3</v>
      </c>
      <c r="F8">
        <v>4</v>
      </c>
      <c r="G8" t="s">
        <v>30</v>
      </c>
      <c r="H8">
        <v>6</v>
      </c>
    </row>
    <row r="9" spans="1:17">
      <c r="A9" t="s">
        <v>4</v>
      </c>
      <c r="B9">
        <v>23</v>
      </c>
      <c r="C9">
        <v>1.66</v>
      </c>
      <c r="D9">
        <v>2.33</v>
      </c>
      <c r="E9" t="s">
        <v>30</v>
      </c>
      <c r="F9" t="s">
        <v>30</v>
      </c>
      <c r="G9" t="s">
        <v>30</v>
      </c>
      <c r="H9">
        <v>7</v>
      </c>
    </row>
    <row r="10" spans="1:17">
      <c r="A10" t="s">
        <v>4</v>
      </c>
      <c r="B10">
        <v>26</v>
      </c>
      <c r="C10">
        <v>2</v>
      </c>
      <c r="D10">
        <v>2.66</v>
      </c>
      <c r="E10">
        <v>3.75</v>
      </c>
      <c r="F10">
        <v>5</v>
      </c>
      <c r="G10" t="s">
        <v>30</v>
      </c>
      <c r="H10">
        <v>8</v>
      </c>
      <c r="Q10" t="s">
        <v>265</v>
      </c>
    </row>
    <row r="11" spans="1:17">
      <c r="A11" t="s">
        <v>4</v>
      </c>
      <c r="B11">
        <v>32</v>
      </c>
      <c r="C11">
        <v>2.5</v>
      </c>
      <c r="D11">
        <v>3.33</v>
      </c>
      <c r="E11">
        <v>4.5</v>
      </c>
      <c r="F11">
        <v>6.5</v>
      </c>
      <c r="G11" t="s">
        <v>30</v>
      </c>
      <c r="H11">
        <v>9</v>
      </c>
      <c r="Q11">
        <v>1</v>
      </c>
    </row>
    <row r="12" spans="1:17">
      <c r="A12" t="s">
        <v>4</v>
      </c>
      <c r="B12">
        <v>38</v>
      </c>
      <c r="C12">
        <v>3</v>
      </c>
      <c r="D12">
        <v>4</v>
      </c>
      <c r="E12">
        <v>5</v>
      </c>
      <c r="F12">
        <v>8</v>
      </c>
      <c r="G12" t="s">
        <v>30</v>
      </c>
      <c r="H12">
        <v>10</v>
      </c>
      <c r="Q12">
        <v>2</v>
      </c>
    </row>
    <row r="13" spans="1:17">
      <c r="A13" t="s">
        <v>4</v>
      </c>
      <c r="B13">
        <v>45</v>
      </c>
      <c r="C13" t="s">
        <v>30</v>
      </c>
      <c r="D13">
        <v>5</v>
      </c>
      <c r="E13">
        <v>6</v>
      </c>
      <c r="F13">
        <v>10</v>
      </c>
      <c r="G13" t="s">
        <v>30</v>
      </c>
      <c r="H13">
        <v>11</v>
      </c>
      <c r="Q13">
        <v>3</v>
      </c>
    </row>
    <row r="14" spans="1:17">
      <c r="C14" t="s">
        <v>26</v>
      </c>
      <c r="Q14">
        <v>4</v>
      </c>
    </row>
    <row r="15" spans="1:17">
      <c r="C15">
        <v>1</v>
      </c>
      <c r="D15">
        <v>2</v>
      </c>
      <c r="E15">
        <v>3</v>
      </c>
      <c r="F15">
        <v>4</v>
      </c>
      <c r="G15">
        <v>5</v>
      </c>
      <c r="H15">
        <v>6</v>
      </c>
      <c r="I15">
        <v>7</v>
      </c>
      <c r="J15">
        <v>1</v>
      </c>
      <c r="Q15">
        <v>5</v>
      </c>
    </row>
    <row r="16" spans="1:17">
      <c r="A16" t="s">
        <v>5</v>
      </c>
      <c r="B16">
        <v>13</v>
      </c>
      <c r="C16" t="s">
        <v>262</v>
      </c>
      <c r="D16" t="s">
        <v>30</v>
      </c>
      <c r="E16" t="s">
        <v>30</v>
      </c>
      <c r="F16" t="s">
        <v>30</v>
      </c>
      <c r="G16" t="s">
        <v>30</v>
      </c>
      <c r="H16" t="s">
        <v>30</v>
      </c>
      <c r="I16">
        <v>2.625</v>
      </c>
      <c r="J16">
        <v>2</v>
      </c>
      <c r="Q16">
        <v>6</v>
      </c>
    </row>
    <row r="17" spans="1:17">
      <c r="A17" t="s">
        <v>5</v>
      </c>
      <c r="B17">
        <v>16.5</v>
      </c>
      <c r="C17" t="s">
        <v>30</v>
      </c>
      <c r="D17" t="s">
        <v>30</v>
      </c>
      <c r="E17" t="s">
        <v>30</v>
      </c>
      <c r="F17" t="s">
        <v>30</v>
      </c>
      <c r="G17" t="s">
        <v>30</v>
      </c>
      <c r="H17" t="s">
        <v>30</v>
      </c>
      <c r="I17">
        <v>3.5</v>
      </c>
      <c r="J17">
        <v>3</v>
      </c>
      <c r="Q17">
        <v>7</v>
      </c>
    </row>
    <row r="18" spans="1:17">
      <c r="A18" t="s">
        <v>5</v>
      </c>
      <c r="B18">
        <v>20</v>
      </c>
      <c r="C18" t="s">
        <v>30</v>
      </c>
      <c r="D18" t="s">
        <v>30</v>
      </c>
      <c r="E18">
        <v>1.75</v>
      </c>
      <c r="F18">
        <v>2.25</v>
      </c>
      <c r="G18">
        <v>2.66</v>
      </c>
      <c r="H18">
        <v>3</v>
      </c>
      <c r="I18">
        <v>4.25</v>
      </c>
      <c r="J18">
        <v>4</v>
      </c>
      <c r="Q18">
        <v>8</v>
      </c>
    </row>
    <row r="19" spans="1:17">
      <c r="A19" t="s">
        <v>5</v>
      </c>
      <c r="B19">
        <v>23</v>
      </c>
      <c r="C19" t="s">
        <v>30</v>
      </c>
      <c r="D19" t="s">
        <v>30</v>
      </c>
      <c r="E19">
        <v>2</v>
      </c>
      <c r="F19">
        <v>2.5</v>
      </c>
      <c r="G19">
        <v>3</v>
      </c>
      <c r="H19">
        <v>3.5</v>
      </c>
      <c r="I19" t="s">
        <v>30</v>
      </c>
      <c r="J19">
        <v>5</v>
      </c>
      <c r="Q19">
        <v>9</v>
      </c>
    </row>
    <row r="20" spans="1:17">
      <c r="A20" t="s">
        <v>5</v>
      </c>
      <c r="B20">
        <v>26</v>
      </c>
      <c r="C20" t="s">
        <v>30</v>
      </c>
      <c r="D20" t="s">
        <v>30</v>
      </c>
      <c r="E20">
        <v>2.11</v>
      </c>
      <c r="F20">
        <v>2.75</v>
      </c>
      <c r="G20">
        <v>3.5</v>
      </c>
      <c r="H20">
        <v>4</v>
      </c>
      <c r="I20" t="s">
        <v>30</v>
      </c>
      <c r="J20">
        <v>6</v>
      </c>
      <c r="Q20">
        <v>10</v>
      </c>
    </row>
    <row r="21" spans="1:17">
      <c r="A21" t="s">
        <v>5</v>
      </c>
      <c r="B21">
        <v>32</v>
      </c>
      <c r="C21" t="s">
        <v>30</v>
      </c>
      <c r="D21" t="s">
        <v>30</v>
      </c>
      <c r="E21">
        <v>3</v>
      </c>
      <c r="F21">
        <v>3.5</v>
      </c>
      <c r="G21">
        <v>4.33</v>
      </c>
      <c r="H21">
        <v>5</v>
      </c>
      <c r="I21" t="s">
        <v>30</v>
      </c>
      <c r="J21">
        <v>7</v>
      </c>
    </row>
    <row r="22" spans="1:17">
      <c r="A22" t="s">
        <v>5</v>
      </c>
      <c r="B22">
        <v>37</v>
      </c>
      <c r="C22" t="s">
        <v>30</v>
      </c>
      <c r="D22" t="s">
        <v>30</v>
      </c>
      <c r="E22">
        <v>3.5</v>
      </c>
      <c r="F22">
        <v>4.125</v>
      </c>
      <c r="G22">
        <v>5</v>
      </c>
      <c r="H22">
        <v>6</v>
      </c>
      <c r="I22" t="s">
        <v>30</v>
      </c>
      <c r="J22">
        <v>8</v>
      </c>
    </row>
    <row r="26" spans="1:17">
      <c r="C26" t="s">
        <v>27</v>
      </c>
    </row>
    <row r="27" spans="1:17">
      <c r="C27">
        <v>5</v>
      </c>
      <c r="D27">
        <v>7.5</v>
      </c>
    </row>
    <row r="28" spans="1:17">
      <c r="A28" t="s">
        <v>6</v>
      </c>
      <c r="B28">
        <v>20</v>
      </c>
      <c r="C28">
        <v>2.25</v>
      </c>
      <c r="D28">
        <v>3.4</v>
      </c>
    </row>
    <row r="33" spans="1:10">
      <c r="C33" t="s">
        <v>370</v>
      </c>
    </row>
    <row r="34" spans="1:10">
      <c r="C34" t="str">
        <f>C33</f>
        <v>10-1/2 X 20-1/2</v>
      </c>
      <c r="E34">
        <f>MATCH(C35,RadCompList!$E$38:$J$38)</f>
        <v>1</v>
      </c>
    </row>
    <row r="35" spans="1:10">
      <c r="C35" s="10">
        <v>18</v>
      </c>
      <c r="D35" t="e">
        <f>(INDEX(RadCompList!$E$39:$J$78,MATCH(C34,RadCompList!$D$39:$D$78),MATCH(C35,RadCompList!$E$38:$J$38)))</f>
        <v>#N/A</v>
      </c>
      <c r="E35">
        <f>MATCH(C34,RadCompList!$D$39:$D$78,0)</f>
        <v>31</v>
      </c>
    </row>
    <row r="37" spans="1:10">
      <c r="E37" t="s">
        <v>28</v>
      </c>
    </row>
    <row r="38" spans="1:10" ht="28">
      <c r="A38" s="9"/>
      <c r="B38" s="10" t="s">
        <v>7</v>
      </c>
      <c r="C38" s="10" t="s">
        <v>8</v>
      </c>
      <c r="D38" t="s">
        <v>368</v>
      </c>
      <c r="E38" s="10">
        <v>18</v>
      </c>
      <c r="F38" s="10">
        <v>20</v>
      </c>
      <c r="G38" s="10">
        <v>24</v>
      </c>
      <c r="H38" s="10">
        <v>26</v>
      </c>
      <c r="I38" s="10">
        <v>32</v>
      </c>
      <c r="J38" s="10">
        <v>38</v>
      </c>
    </row>
    <row r="39" spans="1:10">
      <c r="A39" t="s">
        <v>23</v>
      </c>
      <c r="B39" s="7" t="s">
        <v>13</v>
      </c>
      <c r="C39" s="7" t="s">
        <v>9</v>
      </c>
      <c r="D39" t="str">
        <f>LEFT(B39,LEN(B39)-1) &amp; " X " &amp; LEFT(C39,LEN(C39)-1)</f>
        <v>4-1/2 X 20-1/2</v>
      </c>
      <c r="E39" s="7">
        <v>10.4</v>
      </c>
      <c r="F39" s="7">
        <v>11.3</v>
      </c>
      <c r="G39" s="7">
        <v>13.1</v>
      </c>
      <c r="H39" s="7">
        <v>13.4</v>
      </c>
      <c r="I39" s="7">
        <v>14</v>
      </c>
      <c r="J39" s="7">
        <v>14.6</v>
      </c>
    </row>
    <row r="40" spans="1:10">
      <c r="A40" t="s">
        <v>23</v>
      </c>
      <c r="B40" s="7" t="s">
        <v>13</v>
      </c>
      <c r="C40" s="7" t="s">
        <v>10</v>
      </c>
      <c r="D40" t="str">
        <f t="shared" ref="D40:D78" si="0">LEFT(B40,LEN(B40)-1) &amp; " X " &amp; LEFT(C40,LEN(C40)-1)</f>
        <v>4-1/2 X 24-1/2</v>
      </c>
      <c r="E40" s="7">
        <v>12.8</v>
      </c>
      <c r="F40" s="7">
        <v>13.9</v>
      </c>
      <c r="G40" s="7">
        <v>16.100000000000001</v>
      </c>
      <c r="H40" s="7">
        <v>16.399999999999999</v>
      </c>
      <c r="I40" s="7">
        <v>17.2</v>
      </c>
      <c r="J40" s="7">
        <v>18</v>
      </c>
    </row>
    <row r="41" spans="1:10">
      <c r="A41" t="s">
        <v>23</v>
      </c>
      <c r="B41" s="7" t="s">
        <v>13</v>
      </c>
      <c r="C41" s="7" t="s">
        <v>11</v>
      </c>
      <c r="D41" t="str">
        <f t="shared" si="0"/>
        <v>4-1/2 X 28-1/2</v>
      </c>
      <c r="E41" s="7">
        <v>15.2</v>
      </c>
      <c r="F41" s="7">
        <v>16.5</v>
      </c>
      <c r="G41" s="7">
        <v>19.2</v>
      </c>
      <c r="H41" s="7">
        <v>19.5</v>
      </c>
      <c r="I41" s="7">
        <v>20.399999999999999</v>
      </c>
      <c r="J41" s="7">
        <v>21.3</v>
      </c>
    </row>
    <row r="42" spans="1:10">
      <c r="A42" t="s">
        <v>23</v>
      </c>
      <c r="B42" s="7" t="s">
        <v>13</v>
      </c>
      <c r="C42" s="7" t="s">
        <v>12</v>
      </c>
      <c r="D42" t="str">
        <f t="shared" si="0"/>
        <v>4-1/2 X 32-1/2</v>
      </c>
      <c r="E42" s="7">
        <v>17.600000000000001</v>
      </c>
      <c r="F42" s="7">
        <v>19.100000000000001</v>
      </c>
      <c r="G42" s="7">
        <v>22.2</v>
      </c>
      <c r="H42" s="7">
        <v>22.5</v>
      </c>
      <c r="I42" s="7">
        <v>23.6</v>
      </c>
      <c r="J42" s="7">
        <v>24.6</v>
      </c>
    </row>
    <row r="43" spans="1:10">
      <c r="A43" t="s">
        <v>23</v>
      </c>
      <c r="B43" s="7" t="s">
        <v>13</v>
      </c>
      <c r="C43" s="7" t="s">
        <v>14</v>
      </c>
      <c r="D43" t="str">
        <f t="shared" si="0"/>
        <v>4-1/2 X 36-1/2</v>
      </c>
      <c r="E43" s="7">
        <v>19.7</v>
      </c>
      <c r="F43" s="7">
        <v>21.7</v>
      </c>
      <c r="G43" s="7">
        <v>25.2</v>
      </c>
      <c r="H43" s="7">
        <v>25.6</v>
      </c>
      <c r="I43" s="7">
        <v>26.8</v>
      </c>
      <c r="J43" s="7">
        <v>28</v>
      </c>
    </row>
    <row r="44" spans="1:10">
      <c r="A44" t="s">
        <v>23</v>
      </c>
      <c r="B44" s="7" t="s">
        <v>13</v>
      </c>
      <c r="C44" s="7" t="s">
        <v>15</v>
      </c>
      <c r="D44" t="str">
        <f t="shared" si="0"/>
        <v>4-1/2 X 40-1/2</v>
      </c>
      <c r="E44" s="7">
        <v>22.3</v>
      </c>
      <c r="F44" s="7">
        <v>24.3</v>
      </c>
      <c r="G44" s="7">
        <v>28.2</v>
      </c>
      <c r="H44" s="7">
        <v>28.6</v>
      </c>
      <c r="I44" s="7">
        <v>30</v>
      </c>
      <c r="J44" s="7">
        <v>31.3</v>
      </c>
    </row>
    <row r="45" spans="1:10">
      <c r="A45" t="s">
        <v>23</v>
      </c>
      <c r="B45" s="7" t="s">
        <v>13</v>
      </c>
      <c r="C45" s="7" t="s">
        <v>16</v>
      </c>
      <c r="D45" t="str">
        <f t="shared" si="0"/>
        <v>4-1/2 X 44-1/2</v>
      </c>
      <c r="E45" s="7">
        <v>24.7</v>
      </c>
      <c r="F45" s="7">
        <v>26.9</v>
      </c>
      <c r="G45" s="7">
        <v>31.2</v>
      </c>
      <c r="H45" s="7">
        <v>31.7</v>
      </c>
      <c r="I45" s="7">
        <v>33.200000000000003</v>
      </c>
      <c r="J45" s="7">
        <v>34.700000000000003</v>
      </c>
    </row>
    <row r="46" spans="1:10">
      <c r="A46" t="s">
        <v>23</v>
      </c>
      <c r="B46" s="7" t="s">
        <v>13</v>
      </c>
      <c r="C46" s="7" t="s">
        <v>17</v>
      </c>
      <c r="D46" t="str">
        <f t="shared" si="0"/>
        <v>4-1/2 X 48-1/2</v>
      </c>
      <c r="E46" s="7">
        <v>27.1</v>
      </c>
      <c r="F46" s="7">
        <v>29.5</v>
      </c>
      <c r="G46" s="7">
        <v>34.200000000000003</v>
      </c>
      <c r="H46" s="7">
        <v>34.700000000000003</v>
      </c>
      <c r="I46" s="7">
        <v>36.4</v>
      </c>
      <c r="J46" s="7">
        <v>38</v>
      </c>
    </row>
    <row r="47" spans="1:10">
      <c r="A47" t="s">
        <v>23</v>
      </c>
      <c r="B47" s="7" t="s">
        <v>13</v>
      </c>
      <c r="C47" s="7" t="s">
        <v>18</v>
      </c>
      <c r="D47" t="str">
        <f t="shared" si="0"/>
        <v>4-1/2 X 56-1/2</v>
      </c>
      <c r="E47" s="7">
        <v>31.9</v>
      </c>
      <c r="F47" s="7">
        <v>34.700000000000003</v>
      </c>
      <c r="G47" s="7">
        <v>40.200000000000003</v>
      </c>
      <c r="H47" s="7">
        <v>40.799999999999997</v>
      </c>
      <c r="I47" s="7">
        <v>42.8</v>
      </c>
      <c r="J47" s="7">
        <v>44.7</v>
      </c>
    </row>
    <row r="48" spans="1:10">
      <c r="A48" t="s">
        <v>23</v>
      </c>
      <c r="B48" s="7" t="s">
        <v>13</v>
      </c>
      <c r="C48" s="7" t="s">
        <v>19</v>
      </c>
      <c r="D48" t="str">
        <f t="shared" si="0"/>
        <v>4-1/2 X 64-1/2</v>
      </c>
      <c r="E48" s="7">
        <v>36.6</v>
      </c>
      <c r="F48" s="7">
        <v>39.9</v>
      </c>
      <c r="G48" s="7">
        <v>46.2</v>
      </c>
      <c r="H48" s="7">
        <v>46.9</v>
      </c>
      <c r="I48" s="7">
        <v>49.2</v>
      </c>
      <c r="J48" s="7">
        <v>51.7</v>
      </c>
    </row>
    <row r="49" spans="1:11">
      <c r="A49" t="s">
        <v>23</v>
      </c>
      <c r="B49" s="7" t="s">
        <v>20</v>
      </c>
      <c r="C49" s="7" t="s">
        <v>9</v>
      </c>
      <c r="D49" t="str">
        <f t="shared" si="0"/>
        <v>6-1/2 X 20-1/2</v>
      </c>
      <c r="E49" s="7">
        <v>15.3</v>
      </c>
      <c r="F49" s="7">
        <v>16.3</v>
      </c>
      <c r="G49" s="7">
        <v>18.399999999999999</v>
      </c>
      <c r="H49" s="7">
        <v>18.8</v>
      </c>
      <c r="I49" s="7">
        <v>19.600000000000001</v>
      </c>
      <c r="J49" s="7">
        <v>20.6</v>
      </c>
    </row>
    <row r="50" spans="1:11">
      <c r="A50" t="s">
        <v>23</v>
      </c>
      <c r="B50" s="7" t="s">
        <v>20</v>
      </c>
      <c r="C50" s="7" t="s">
        <v>10</v>
      </c>
      <c r="D50" t="str">
        <f t="shared" si="0"/>
        <v>6-1/2 X 24-1/2</v>
      </c>
      <c r="E50" s="7">
        <v>18.8</v>
      </c>
      <c r="F50" s="7">
        <v>20.100000000000001</v>
      </c>
      <c r="G50" s="7">
        <v>22.6</v>
      </c>
      <c r="H50" s="7">
        <v>23.1</v>
      </c>
      <c r="I50" s="7">
        <v>24.1</v>
      </c>
      <c r="J50" s="7">
        <v>25.3</v>
      </c>
    </row>
    <row r="51" spans="1:11">
      <c r="A51" t="s">
        <v>23</v>
      </c>
      <c r="B51" s="7" t="s">
        <v>20</v>
      </c>
      <c r="C51" s="7" t="s">
        <v>11</v>
      </c>
      <c r="D51" t="str">
        <f t="shared" si="0"/>
        <v>6-1/2 X 28-1/2</v>
      </c>
      <c r="E51" s="7">
        <v>22.3</v>
      </c>
      <c r="F51" s="7">
        <v>23.8</v>
      </c>
      <c r="G51" s="7">
        <v>26.9</v>
      </c>
      <c r="H51" s="7">
        <v>27.4</v>
      </c>
      <c r="I51" s="7">
        <v>28.6</v>
      </c>
      <c r="J51" s="7">
        <v>30.1</v>
      </c>
    </row>
    <row r="52" spans="1:11">
      <c r="A52" t="s">
        <v>23</v>
      </c>
      <c r="B52" s="7" t="s">
        <v>20</v>
      </c>
      <c r="C52" s="7" t="s">
        <v>12</v>
      </c>
      <c r="D52" t="str">
        <f t="shared" si="0"/>
        <v>6-1/2 X 32-1/2</v>
      </c>
      <c r="E52" s="7">
        <v>25.8</v>
      </c>
      <c r="F52" s="7">
        <v>27.6</v>
      </c>
      <c r="G52" s="7">
        <v>31.1</v>
      </c>
      <c r="H52" s="7">
        <v>31.7</v>
      </c>
      <c r="I52" s="7">
        <v>33.200000000000003</v>
      </c>
      <c r="J52" s="7">
        <v>34.799999999999997</v>
      </c>
    </row>
    <row r="53" spans="1:11">
      <c r="A53" t="s">
        <v>23</v>
      </c>
      <c r="B53" s="7" t="s">
        <v>20</v>
      </c>
      <c r="C53" s="7" t="s">
        <v>14</v>
      </c>
      <c r="D53" t="str">
        <f t="shared" si="0"/>
        <v>6-1/2 X 36-1/2</v>
      </c>
      <c r="E53" s="7">
        <v>29.3</v>
      </c>
      <c r="F53" s="7">
        <v>31.3</v>
      </c>
      <c r="G53" s="7">
        <v>35.4</v>
      </c>
      <c r="H53" s="7">
        <v>36</v>
      </c>
      <c r="I53" s="7">
        <v>37.700000000000003</v>
      </c>
      <c r="J53" s="7">
        <v>39.6</v>
      </c>
    </row>
    <row r="54" spans="1:11">
      <c r="A54" t="s">
        <v>23</v>
      </c>
      <c r="B54" s="7" t="s">
        <v>20</v>
      </c>
      <c r="C54" s="7" t="s">
        <v>15</v>
      </c>
      <c r="D54" t="str">
        <f t="shared" si="0"/>
        <v>6-1/2 X 40-1/2</v>
      </c>
      <c r="E54" s="7">
        <v>32.799999999999997</v>
      </c>
      <c r="F54" s="7">
        <v>35.1</v>
      </c>
      <c r="G54" s="7">
        <v>39.6</v>
      </c>
      <c r="H54" s="7">
        <v>40.299999999999997</v>
      </c>
      <c r="I54" s="7">
        <v>42.2</v>
      </c>
      <c r="J54" s="7">
        <v>44.3</v>
      </c>
    </row>
    <row r="55" spans="1:11" ht="28">
      <c r="A55" t="s">
        <v>23</v>
      </c>
      <c r="B55" s="7" t="s">
        <v>20</v>
      </c>
      <c r="C55" s="7" t="s">
        <v>16</v>
      </c>
      <c r="D55" t="str">
        <f t="shared" si="0"/>
        <v>6-1/2 X 44-1/2</v>
      </c>
      <c r="E55" s="7">
        <v>36.299999999999997</v>
      </c>
      <c r="F55" s="7">
        <v>38.9</v>
      </c>
      <c r="G55" s="7">
        <v>43.8</v>
      </c>
      <c r="H55" s="7">
        <v>44.6</v>
      </c>
      <c r="I55" s="7">
        <v>48.7</v>
      </c>
      <c r="J55" s="7">
        <v>49.9</v>
      </c>
      <c r="K55" s="10" t="s">
        <v>7</v>
      </c>
    </row>
    <row r="56" spans="1:11">
      <c r="A56" t="s">
        <v>23</v>
      </c>
      <c r="B56" s="7" t="s">
        <v>20</v>
      </c>
      <c r="C56" s="7" t="s">
        <v>17</v>
      </c>
      <c r="D56" t="str">
        <f t="shared" si="0"/>
        <v>6-1/2 X 48-1/2</v>
      </c>
      <c r="E56" s="7">
        <v>39.799999999999997</v>
      </c>
      <c r="F56" s="7">
        <v>42.6</v>
      </c>
      <c r="G56" s="7">
        <v>48.1</v>
      </c>
      <c r="H56" s="7">
        <v>48.9</v>
      </c>
      <c r="I56" s="7">
        <v>51.2</v>
      </c>
      <c r="J56" s="7">
        <v>53.8</v>
      </c>
      <c r="K56" s="7" t="s">
        <v>13</v>
      </c>
    </row>
    <row r="57" spans="1:11">
      <c r="A57" t="s">
        <v>23</v>
      </c>
      <c r="B57" s="7" t="s">
        <v>20</v>
      </c>
      <c r="C57" s="7" t="s">
        <v>18</v>
      </c>
      <c r="D57" t="str">
        <f t="shared" si="0"/>
        <v>6-1/2 X 56-1/2</v>
      </c>
      <c r="E57" s="7">
        <v>46.8</v>
      </c>
      <c r="F57" s="7">
        <v>50.1</v>
      </c>
      <c r="G57" s="7">
        <v>56.6</v>
      </c>
      <c r="H57" s="7">
        <v>57.5</v>
      </c>
      <c r="I57" s="7">
        <v>60.6</v>
      </c>
      <c r="J57" s="7">
        <v>63.3</v>
      </c>
      <c r="K57" s="7" t="s">
        <v>20</v>
      </c>
    </row>
    <row r="58" spans="1:11">
      <c r="A58" t="s">
        <v>23</v>
      </c>
      <c r="B58" s="7" t="s">
        <v>20</v>
      </c>
      <c r="C58" s="7" t="s">
        <v>19</v>
      </c>
      <c r="D58" t="str">
        <f t="shared" si="0"/>
        <v>6-1/2 X 64-1/2</v>
      </c>
      <c r="E58" s="7">
        <v>53.9</v>
      </c>
      <c r="F58" s="7">
        <v>57.7</v>
      </c>
      <c r="G58" s="7">
        <v>65</v>
      </c>
      <c r="H58" s="7">
        <v>66.2</v>
      </c>
      <c r="I58" s="7">
        <v>69.3</v>
      </c>
      <c r="J58" s="7">
        <v>72.7</v>
      </c>
      <c r="K58" s="7" t="s">
        <v>21</v>
      </c>
    </row>
    <row r="59" spans="1:11">
      <c r="A59" t="s">
        <v>23</v>
      </c>
      <c r="B59" s="7" t="s">
        <v>21</v>
      </c>
      <c r="C59" s="7" t="s">
        <v>9</v>
      </c>
      <c r="D59" t="str">
        <f t="shared" si="0"/>
        <v>8-1/2 X 20-1/2</v>
      </c>
      <c r="E59" s="7">
        <v>18.7</v>
      </c>
      <c r="F59" s="7">
        <v>20</v>
      </c>
      <c r="G59" s="7">
        <v>22.5</v>
      </c>
      <c r="H59" s="7">
        <v>23</v>
      </c>
      <c r="I59" s="7">
        <v>24.4</v>
      </c>
      <c r="J59" s="7">
        <v>25.8</v>
      </c>
      <c r="K59" s="7" t="s">
        <v>22</v>
      </c>
    </row>
    <row r="60" spans="1:11">
      <c r="A60" t="s">
        <v>23</v>
      </c>
      <c r="B60" s="7" t="s">
        <v>21</v>
      </c>
      <c r="C60" s="7" t="s">
        <v>10</v>
      </c>
      <c r="D60" t="str">
        <f t="shared" si="0"/>
        <v>8-1/2 X 24-1/2</v>
      </c>
      <c r="E60" s="7">
        <v>22.9</v>
      </c>
      <c r="F60" s="7">
        <v>24.5</v>
      </c>
      <c r="G60" s="7">
        <v>27.7</v>
      </c>
      <c r="H60" s="7">
        <v>28.8</v>
      </c>
      <c r="I60" s="7">
        <v>30</v>
      </c>
      <c r="J60" s="7">
        <v>3.7</v>
      </c>
    </row>
    <row r="61" spans="1:11">
      <c r="A61" t="s">
        <v>23</v>
      </c>
      <c r="B61" s="7" t="s">
        <v>21</v>
      </c>
      <c r="C61" s="7" t="s">
        <v>11</v>
      </c>
      <c r="D61" t="str">
        <f t="shared" si="0"/>
        <v>8-1/2 X 28-1/2</v>
      </c>
      <c r="E61" s="7">
        <v>27.2</v>
      </c>
      <c r="F61" s="7">
        <v>20.100000000000001</v>
      </c>
      <c r="G61" s="7">
        <v>32.799999999999997</v>
      </c>
      <c r="H61" s="7">
        <v>33.5</v>
      </c>
      <c r="I61" s="7">
        <v>35.6</v>
      </c>
      <c r="J61" s="7">
        <v>37.700000000000003</v>
      </c>
    </row>
    <row r="62" spans="1:11">
      <c r="A62" t="s">
        <v>23</v>
      </c>
      <c r="B62" s="7" t="s">
        <v>21</v>
      </c>
      <c r="C62" s="7" t="s">
        <v>12</v>
      </c>
      <c r="D62" t="str">
        <f t="shared" si="0"/>
        <v>8-1/2 X 32-1/2</v>
      </c>
      <c r="E62" s="7">
        <v>31.5</v>
      </c>
      <c r="F62" s="7">
        <v>33.700000000000003</v>
      </c>
      <c r="G62" s="7">
        <v>38</v>
      </c>
      <c r="H62" s="7">
        <v>38.799999999999997</v>
      </c>
      <c r="I62" s="7">
        <v>41.2</v>
      </c>
      <c r="J62" s="7">
        <v>43.6</v>
      </c>
    </row>
    <row r="63" spans="1:11">
      <c r="A63" t="s">
        <v>23</v>
      </c>
      <c r="B63" s="7" t="s">
        <v>21</v>
      </c>
      <c r="C63" s="7" t="s">
        <v>14</v>
      </c>
      <c r="D63" t="str">
        <f t="shared" si="0"/>
        <v>8-1/2 X 36-1/2</v>
      </c>
      <c r="E63" s="7">
        <v>35.799999999999997</v>
      </c>
      <c r="F63" s="7">
        <v>38.299999999999997</v>
      </c>
      <c r="G63" s="7">
        <v>43.2</v>
      </c>
      <c r="H63" s="7">
        <v>44.1</v>
      </c>
      <c r="I63" s="7">
        <v>46.8</v>
      </c>
      <c r="J63" s="7">
        <v>49.5</v>
      </c>
    </row>
    <row r="64" spans="1:11">
      <c r="A64" t="s">
        <v>23</v>
      </c>
      <c r="B64" s="7" t="s">
        <v>21</v>
      </c>
      <c r="C64" s="7" t="s">
        <v>15</v>
      </c>
      <c r="D64" t="str">
        <f t="shared" si="0"/>
        <v>8-1/2 X 40-1/2</v>
      </c>
      <c r="E64" s="7">
        <v>40.1</v>
      </c>
      <c r="F64" s="7">
        <v>42.9</v>
      </c>
      <c r="G64" s="7">
        <v>48.3</v>
      </c>
      <c r="H64" s="7">
        <v>49.4</v>
      </c>
      <c r="I64" s="7">
        <v>52.4</v>
      </c>
      <c r="J64" s="7">
        <v>55.5</v>
      </c>
    </row>
    <row r="65" spans="1:10">
      <c r="A65" t="s">
        <v>23</v>
      </c>
      <c r="B65" s="7" t="s">
        <v>21</v>
      </c>
      <c r="C65" s="7" t="s">
        <v>16</v>
      </c>
      <c r="D65" t="str">
        <f t="shared" si="0"/>
        <v>8-1/2 X 44-1/2</v>
      </c>
      <c r="E65" s="7">
        <v>44.3</v>
      </c>
      <c r="F65" s="7">
        <v>47.4</v>
      </c>
      <c r="G65" s="7">
        <v>53.3</v>
      </c>
      <c r="H65" s="7">
        <v>54.6</v>
      </c>
      <c r="I65" s="7">
        <v>58</v>
      </c>
      <c r="J65" s="7">
        <v>61.4</v>
      </c>
    </row>
    <row r="66" spans="1:10">
      <c r="A66" t="s">
        <v>23</v>
      </c>
      <c r="B66" s="7" t="s">
        <v>21</v>
      </c>
      <c r="C66" s="7" t="s">
        <v>17</v>
      </c>
      <c r="D66" t="str">
        <f t="shared" si="0"/>
        <v>8-1/2 X 48-1/2</v>
      </c>
      <c r="E66" s="7">
        <v>48.6</v>
      </c>
      <c r="F66" s="7">
        <v>52</v>
      </c>
      <c r="G66" s="7">
        <v>58.7</v>
      </c>
      <c r="H66" s="7">
        <v>59.9</v>
      </c>
      <c r="I66" s="7">
        <v>63.6</v>
      </c>
      <c r="J66" s="7">
        <v>67.3</v>
      </c>
    </row>
    <row r="67" spans="1:10">
      <c r="A67" t="s">
        <v>23</v>
      </c>
      <c r="B67" s="7" t="s">
        <v>21</v>
      </c>
      <c r="C67" s="7" t="s">
        <v>18</v>
      </c>
      <c r="D67" t="str">
        <f t="shared" si="0"/>
        <v>8-1/2 X 56-1/2</v>
      </c>
      <c r="E67" s="7">
        <v>57.2</v>
      </c>
      <c r="F67" s="7">
        <v>61.2</v>
      </c>
      <c r="G67" s="7">
        <v>69</v>
      </c>
      <c r="H67" s="7">
        <v>70.5</v>
      </c>
      <c r="I67" s="7">
        <v>74.8</v>
      </c>
      <c r="J67" s="7">
        <v>79.2</v>
      </c>
    </row>
    <row r="68" spans="1:10">
      <c r="A68" t="s">
        <v>23</v>
      </c>
      <c r="B68" s="7" t="s">
        <v>21</v>
      </c>
      <c r="C68" s="7" t="s">
        <v>19</v>
      </c>
      <c r="D68" t="str">
        <f t="shared" si="0"/>
        <v>8-1/2 X 64-1/2</v>
      </c>
      <c r="E68" s="7">
        <v>65.7</v>
      </c>
      <c r="F68" s="7">
        <v>70.3</v>
      </c>
      <c r="G68" s="7">
        <v>79.400000000000006</v>
      </c>
      <c r="H68" s="7">
        <v>81</v>
      </c>
      <c r="I68" s="7">
        <v>86</v>
      </c>
      <c r="J68" s="7">
        <v>91</v>
      </c>
    </row>
    <row r="69" spans="1:10">
      <c r="A69" t="s">
        <v>23</v>
      </c>
      <c r="B69" s="7" t="s">
        <v>22</v>
      </c>
      <c r="C69" s="7" t="s">
        <v>9</v>
      </c>
      <c r="D69" t="s">
        <v>370</v>
      </c>
      <c r="E69" s="7">
        <v>20.399999999999999</v>
      </c>
      <c r="F69" s="7">
        <v>22</v>
      </c>
      <c r="G69" s="7">
        <v>25</v>
      </c>
      <c r="H69" s="7">
        <v>25.7</v>
      </c>
      <c r="I69" s="7">
        <v>27.4</v>
      </c>
      <c r="J69" s="7">
        <v>29.3</v>
      </c>
    </row>
    <row r="70" spans="1:10">
      <c r="A70" t="s">
        <v>23</v>
      </c>
      <c r="B70" s="7" t="s">
        <v>22</v>
      </c>
      <c r="C70" s="7" t="s">
        <v>10</v>
      </c>
      <c r="D70" t="str">
        <f t="shared" si="0"/>
        <v>10-1/2 X 24-1/2</v>
      </c>
      <c r="E70" s="7">
        <v>25.2</v>
      </c>
      <c r="F70" s="7">
        <v>27.1</v>
      </c>
      <c r="G70" s="7">
        <v>30.9</v>
      </c>
      <c r="H70" s="7">
        <v>31.7</v>
      </c>
      <c r="I70" s="7">
        <v>33.799999999999997</v>
      </c>
      <c r="J70" s="7">
        <v>36.200000000000003</v>
      </c>
    </row>
    <row r="71" spans="1:10">
      <c r="A71" t="s">
        <v>23</v>
      </c>
      <c r="B71" s="7" t="s">
        <v>22</v>
      </c>
      <c r="C71" s="7" t="s">
        <v>11</v>
      </c>
      <c r="D71" t="str">
        <f t="shared" si="0"/>
        <v>10-1/2 X 28-1/2</v>
      </c>
      <c r="E71" s="7">
        <v>30</v>
      </c>
      <c r="F71" s="7">
        <v>32.299999999999997</v>
      </c>
      <c r="G71" s="7">
        <v>36.799999999999997</v>
      </c>
      <c r="H71" s="7">
        <v>37.700000000000003</v>
      </c>
      <c r="I71" s="7">
        <v>40.200000000000003</v>
      </c>
      <c r="J71" s="7">
        <v>43.1</v>
      </c>
    </row>
    <row r="72" spans="1:10">
      <c r="A72" t="s">
        <v>23</v>
      </c>
      <c r="B72" s="7" t="s">
        <v>22</v>
      </c>
      <c r="C72" s="7" t="s">
        <v>12</v>
      </c>
      <c r="D72" t="str">
        <f t="shared" si="0"/>
        <v>10-1/2 X 32-1/2</v>
      </c>
      <c r="E72" s="7">
        <v>34.799999999999997</v>
      </c>
      <c r="F72" s="7">
        <v>37.4</v>
      </c>
      <c r="G72" s="7">
        <v>42.6</v>
      </c>
      <c r="H72" s="7">
        <v>43.7</v>
      </c>
      <c r="I72" s="7">
        <v>46.6</v>
      </c>
      <c r="J72" s="7">
        <v>50</v>
      </c>
    </row>
    <row r="73" spans="1:10">
      <c r="A73" t="s">
        <v>23</v>
      </c>
      <c r="B73" s="7" t="s">
        <v>22</v>
      </c>
      <c r="C73" s="7" t="s">
        <v>14</v>
      </c>
      <c r="D73" t="str">
        <f t="shared" si="0"/>
        <v>10-1/2 X 36-1/2</v>
      </c>
      <c r="E73" s="7">
        <v>39.6</v>
      </c>
      <c r="F73" s="7">
        <v>42.6</v>
      </c>
      <c r="G73" s="7">
        <v>48.5</v>
      </c>
      <c r="H73" s="7">
        <v>49.8</v>
      </c>
      <c r="I73" s="7">
        <v>53.1</v>
      </c>
      <c r="J73" s="7">
        <v>56.9</v>
      </c>
    </row>
    <row r="74" spans="1:10">
      <c r="A74" t="s">
        <v>23</v>
      </c>
      <c r="B74" s="7" t="s">
        <v>22</v>
      </c>
      <c r="C74" s="7" t="s">
        <v>15</v>
      </c>
      <c r="D74" t="str">
        <f t="shared" si="0"/>
        <v>10-1/2 X 40-1/2</v>
      </c>
      <c r="E74" s="7">
        <v>44.4</v>
      </c>
      <c r="F74" s="7">
        <v>47.7</v>
      </c>
      <c r="G74" s="7">
        <v>54.4</v>
      </c>
      <c r="H74" s="7">
        <v>55.8</v>
      </c>
      <c r="I74" s="7">
        <v>59.5</v>
      </c>
      <c r="J74" s="7">
        <v>63.7</v>
      </c>
    </row>
    <row r="75" spans="1:10">
      <c r="A75" t="s">
        <v>23</v>
      </c>
      <c r="B75" s="7" t="s">
        <v>22</v>
      </c>
      <c r="C75" s="7" t="s">
        <v>16</v>
      </c>
      <c r="D75" t="str">
        <f t="shared" si="0"/>
        <v>10-1/2 X 44-1/2</v>
      </c>
      <c r="E75" s="7">
        <v>49.2</v>
      </c>
      <c r="F75" s="7">
        <v>52.9</v>
      </c>
      <c r="G75" s="7">
        <v>60.3</v>
      </c>
      <c r="H75" s="7">
        <v>61.8</v>
      </c>
      <c r="I75" s="7">
        <v>65.900000000000006</v>
      </c>
      <c r="J75" s="7">
        <v>70.599999999999994</v>
      </c>
    </row>
    <row r="76" spans="1:10">
      <c r="A76" t="s">
        <v>23</v>
      </c>
      <c r="B76" s="7" t="s">
        <v>22</v>
      </c>
      <c r="C76" s="7" t="s">
        <v>17</v>
      </c>
      <c r="D76" t="str">
        <f t="shared" si="0"/>
        <v>10-1/2 X 48-1/2</v>
      </c>
      <c r="E76" s="7">
        <v>53.9</v>
      </c>
      <c r="F76" s="7">
        <v>58</v>
      </c>
      <c r="G76" s="7">
        <v>66.099999999999994</v>
      </c>
      <c r="H76" s="7">
        <v>67.8</v>
      </c>
      <c r="I76" s="7">
        <v>72.3</v>
      </c>
      <c r="J76" s="7">
        <v>77.5</v>
      </c>
    </row>
    <row r="77" spans="1:10">
      <c r="A77" t="s">
        <v>23</v>
      </c>
      <c r="B77" s="7" t="s">
        <v>22</v>
      </c>
      <c r="C77" s="7" t="s">
        <v>18</v>
      </c>
      <c r="D77" t="str">
        <f t="shared" si="0"/>
        <v>10-1/2 X 56-1/2</v>
      </c>
      <c r="E77" s="7">
        <v>63.5</v>
      </c>
      <c r="F77" s="7">
        <v>68.3</v>
      </c>
      <c r="G77" s="7">
        <v>77.900000000000006</v>
      </c>
      <c r="H77" s="7">
        <v>79.900000000000006</v>
      </c>
      <c r="I77" s="7">
        <v>85.2</v>
      </c>
      <c r="J77" s="7">
        <v>91.2</v>
      </c>
    </row>
    <row r="78" spans="1:10">
      <c r="A78" t="s">
        <v>23</v>
      </c>
      <c r="B78" s="7" t="s">
        <v>22</v>
      </c>
      <c r="C78" s="7" t="s">
        <v>19</v>
      </c>
      <c r="D78" t="str">
        <f t="shared" si="0"/>
        <v>10-1/2 X 64-1/2</v>
      </c>
      <c r="E78" s="7">
        <v>73.099999999999994</v>
      </c>
      <c r="F78" s="7">
        <v>78.599999999999994</v>
      </c>
      <c r="G78" s="7">
        <v>89.6</v>
      </c>
      <c r="H78" s="7">
        <v>91.9</v>
      </c>
      <c r="I78" s="7">
        <v>98</v>
      </c>
      <c r="J78" s="7">
        <v>105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workbookViewId="0">
      <selection activeCell="H19" sqref="H19"/>
    </sheetView>
  </sheetViews>
  <sheetFormatPr defaultRowHeight="14"/>
  <cols>
    <col min="1" max="1" width="44.5" bestFit="1" customWidth="1"/>
    <col min="2" max="4" width="8.58203125" bestFit="1" customWidth="1"/>
    <col min="8" max="8" width="5.33203125" bestFit="1" customWidth="1"/>
  </cols>
  <sheetData>
    <row r="1" spans="1:8" ht="28">
      <c r="A1" s="16" t="s">
        <v>46</v>
      </c>
      <c r="B1" s="17" t="s">
        <v>47</v>
      </c>
      <c r="C1" s="17" t="s">
        <v>48</v>
      </c>
      <c r="D1" s="17" t="s">
        <v>49</v>
      </c>
      <c r="E1" s="8"/>
      <c r="F1" s="8"/>
      <c r="G1" s="8"/>
      <c r="H1" s="8" t="s">
        <v>249</v>
      </c>
    </row>
    <row r="2" spans="1:8" ht="14.5">
      <c r="A2" s="24" t="s">
        <v>30</v>
      </c>
      <c r="B2" s="17">
        <v>0</v>
      </c>
      <c r="C2" s="17">
        <v>0</v>
      </c>
      <c r="D2" s="17">
        <v>0</v>
      </c>
      <c r="E2" s="15"/>
      <c r="F2" s="15"/>
      <c r="G2" s="15"/>
      <c r="H2" s="15"/>
    </row>
    <row r="3" spans="1:8" ht="14.5">
      <c r="A3" s="18" t="s">
        <v>50</v>
      </c>
      <c r="B3" s="19">
        <v>1.2</v>
      </c>
      <c r="C3" s="19">
        <v>2</v>
      </c>
      <c r="D3" s="19">
        <v>2.5</v>
      </c>
      <c r="E3" s="7"/>
      <c r="F3" s="7"/>
      <c r="G3" s="7"/>
    </row>
    <row r="4" spans="1:8" ht="14.5">
      <c r="A4" s="20" t="s">
        <v>51</v>
      </c>
      <c r="B4" s="21">
        <v>2.6</v>
      </c>
      <c r="C4" s="21">
        <v>3.4</v>
      </c>
      <c r="D4" s="21">
        <v>4.8</v>
      </c>
      <c r="E4" s="7"/>
      <c r="F4" s="7"/>
      <c r="G4" s="7"/>
      <c r="H4" s="7" t="s">
        <v>250</v>
      </c>
    </row>
    <row r="5" spans="1:8" ht="14.5">
      <c r="A5" s="18" t="s">
        <v>52</v>
      </c>
      <c r="B5" s="22" t="s">
        <v>53</v>
      </c>
      <c r="C5" s="22" t="s">
        <v>53</v>
      </c>
      <c r="D5" s="19">
        <v>9.5</v>
      </c>
      <c r="E5" s="7"/>
      <c r="F5" s="7"/>
      <c r="G5" s="7"/>
      <c r="H5" s="7" t="s">
        <v>251</v>
      </c>
    </row>
    <row r="6" spans="1:8" ht="14.5">
      <c r="A6" s="20" t="s">
        <v>54</v>
      </c>
      <c r="B6" s="23" t="s">
        <v>53</v>
      </c>
      <c r="C6" s="23" t="s">
        <v>53</v>
      </c>
      <c r="D6" s="21">
        <v>11</v>
      </c>
      <c r="E6" s="7"/>
      <c r="F6" s="7"/>
      <c r="G6" s="7"/>
      <c r="H6" s="7" t="s">
        <v>252</v>
      </c>
    </row>
    <row r="7" spans="1:8" ht="14.5">
      <c r="A7" s="18" t="s">
        <v>55</v>
      </c>
      <c r="B7" s="19">
        <v>0.1</v>
      </c>
      <c r="C7" s="19">
        <v>0.158</v>
      </c>
      <c r="D7" s="19">
        <v>0.2</v>
      </c>
      <c r="E7" s="7"/>
      <c r="F7" s="7"/>
      <c r="G7" s="7"/>
      <c r="H7" s="7" t="s">
        <v>253</v>
      </c>
    </row>
    <row r="8" spans="1:8" ht="14.5">
      <c r="A8" s="20" t="s">
        <v>56</v>
      </c>
      <c r="B8" s="21">
        <v>0.58299999999999996</v>
      </c>
      <c r="C8" s="21">
        <v>1.58</v>
      </c>
      <c r="D8" s="21">
        <v>2</v>
      </c>
      <c r="E8" s="7"/>
      <c r="F8" s="7"/>
      <c r="G8" s="7"/>
      <c r="H8" s="7" t="s">
        <v>254</v>
      </c>
    </row>
    <row r="9" spans="1:8" ht="14.5">
      <c r="A9" s="18" t="s">
        <v>57</v>
      </c>
      <c r="B9" s="19">
        <v>0.11600000000000001</v>
      </c>
      <c r="C9" s="19">
        <v>0.17499999999999999</v>
      </c>
      <c r="D9" s="19">
        <v>0.22500000000000001</v>
      </c>
      <c r="E9" s="7"/>
      <c r="F9" s="7"/>
      <c r="G9" s="7"/>
      <c r="H9" s="7" t="s">
        <v>44</v>
      </c>
    </row>
    <row r="10" spans="1:8" ht="14.5">
      <c r="A10" s="20" t="s">
        <v>58</v>
      </c>
      <c r="B10" s="21">
        <v>0.33300000000000002</v>
      </c>
      <c r="C10" s="21">
        <v>0.55000000000000004</v>
      </c>
      <c r="D10" s="21">
        <v>0.7</v>
      </c>
      <c r="E10" s="7"/>
      <c r="F10" s="7"/>
      <c r="G10" s="7"/>
      <c r="H10" s="7" t="s">
        <v>255</v>
      </c>
    </row>
    <row r="11" spans="1:8" ht="14.5">
      <c r="A11" s="18" t="s">
        <v>59</v>
      </c>
      <c r="B11" s="19">
        <v>6.6000000000000003E-2</v>
      </c>
      <c r="C11" s="19">
        <v>0.11600000000000001</v>
      </c>
      <c r="D11" s="19">
        <v>0.15</v>
      </c>
      <c r="E11" s="7"/>
      <c r="F11" s="7"/>
      <c r="G11" s="7"/>
      <c r="H11" s="7" t="s">
        <v>266</v>
      </c>
    </row>
    <row r="12" spans="1:8" ht="14.5">
      <c r="A12" s="20" t="s">
        <v>60</v>
      </c>
      <c r="B12" s="21">
        <v>0.33</v>
      </c>
      <c r="C12" s="21">
        <v>0.54</v>
      </c>
      <c r="D12" s="21">
        <v>0.7</v>
      </c>
      <c r="E12" s="7"/>
      <c r="F12" s="7"/>
      <c r="G12" s="7"/>
      <c r="H12" s="7" t="s">
        <v>267</v>
      </c>
    </row>
    <row r="13" spans="1:8" ht="14.5">
      <c r="A13" s="18" t="s">
        <v>61</v>
      </c>
      <c r="B13" s="19">
        <v>1.1000000000000001</v>
      </c>
      <c r="C13" s="19">
        <v>1.75</v>
      </c>
      <c r="D13" s="19">
        <v>2.2000000000000002</v>
      </c>
      <c r="E13" s="7"/>
      <c r="F13" s="7"/>
      <c r="G13" s="7"/>
      <c r="H13" s="7" t="s">
        <v>268</v>
      </c>
    </row>
    <row r="14" spans="1:8" ht="14.5">
      <c r="A14" s="20" t="s">
        <v>62</v>
      </c>
      <c r="B14" s="21">
        <v>0.06</v>
      </c>
      <c r="C14" s="21">
        <v>0.11</v>
      </c>
      <c r="D14" s="21">
        <v>0.13</v>
      </c>
      <c r="E14" s="7"/>
      <c r="F14" s="7"/>
      <c r="G14" s="7"/>
      <c r="H14" s="7" t="s">
        <v>269</v>
      </c>
    </row>
    <row r="15" spans="1:8" ht="14.5">
      <c r="A15" s="18" t="s">
        <v>63</v>
      </c>
      <c r="B15" s="19">
        <v>0.13300000000000001</v>
      </c>
      <c r="C15" s="19">
        <v>0.216</v>
      </c>
      <c r="D15" s="19">
        <v>0.26600000000000001</v>
      </c>
      <c r="E15" s="7"/>
      <c r="F15" s="7"/>
      <c r="G15" s="7"/>
      <c r="H15" s="7" t="s">
        <v>270</v>
      </c>
    </row>
    <row r="16" spans="1:8" ht="14.5">
      <c r="A16" s="20" t="s">
        <v>64</v>
      </c>
      <c r="B16" s="21">
        <v>3.3000000000000002E-2</v>
      </c>
      <c r="C16" s="21">
        <v>8.3000000000000004E-2</v>
      </c>
      <c r="D16" s="21">
        <v>0.108</v>
      </c>
      <c r="E16" s="7"/>
      <c r="F16" s="7"/>
      <c r="G16" s="7"/>
      <c r="H16" s="7" t="s">
        <v>271</v>
      </c>
    </row>
    <row r="17" spans="1:8" ht="14.5">
      <c r="A17" s="18" t="s">
        <v>65</v>
      </c>
      <c r="B17" s="19">
        <v>2.0329999999999999</v>
      </c>
      <c r="C17" s="19">
        <v>2.5</v>
      </c>
      <c r="D17" s="19">
        <v>3.7</v>
      </c>
      <c r="E17" s="7"/>
      <c r="F17" s="7"/>
      <c r="G17" s="7"/>
      <c r="H17" s="7" t="s">
        <v>272</v>
      </c>
    </row>
    <row r="18" spans="1:8" ht="14.5">
      <c r="A18" s="20" t="s">
        <v>66</v>
      </c>
      <c r="B18" s="21">
        <v>1</v>
      </c>
      <c r="C18" s="21">
        <v>2.41</v>
      </c>
      <c r="D18" s="21">
        <v>3.33</v>
      </c>
      <c r="E18" s="7"/>
      <c r="F18" s="7"/>
      <c r="G18" s="7"/>
      <c r="H18" s="7" t="s">
        <v>273</v>
      </c>
    </row>
    <row r="19" spans="1:8" ht="42">
      <c r="A19" s="18" t="s">
        <v>67</v>
      </c>
      <c r="B19" s="19">
        <v>1.2829999999999999</v>
      </c>
      <c r="C19" s="19">
        <v>2.75</v>
      </c>
      <c r="D19" s="19">
        <v>3.4159999999999999</v>
      </c>
      <c r="E19" s="7"/>
      <c r="F19" s="7"/>
      <c r="G19" s="7"/>
      <c r="H19" s="7" t="s">
        <v>256</v>
      </c>
    </row>
    <row r="20" spans="1:8" ht="14.5">
      <c r="A20" s="20" t="s">
        <v>68</v>
      </c>
      <c r="B20" s="21">
        <v>6.6000000000000003E-2</v>
      </c>
      <c r="C20" s="21">
        <v>0.11600000000000001</v>
      </c>
      <c r="D20" s="21">
        <v>0.15</v>
      </c>
      <c r="E20" s="7"/>
      <c r="F20" s="7"/>
      <c r="G20" s="7"/>
      <c r="H20" s="7"/>
    </row>
    <row r="21" spans="1:8" ht="14.5">
      <c r="A21" s="18" t="s">
        <v>69</v>
      </c>
      <c r="B21" s="19">
        <v>0.1</v>
      </c>
      <c r="C21" s="19">
        <v>0.183</v>
      </c>
      <c r="D21" s="19">
        <v>0.24099999999999999</v>
      </c>
      <c r="E21" s="7"/>
      <c r="F21" s="7"/>
      <c r="G21" s="7"/>
      <c r="H21" s="7"/>
    </row>
    <row r="22" spans="1:8" ht="14.5">
      <c r="A22" s="20" t="s">
        <v>70</v>
      </c>
      <c r="B22" s="21">
        <v>0.5</v>
      </c>
      <c r="C22" s="21">
        <v>0.75</v>
      </c>
      <c r="D22" s="21">
        <v>0.96</v>
      </c>
      <c r="E22" s="7"/>
      <c r="F22" s="7"/>
      <c r="G22" s="7"/>
      <c r="H22" s="7"/>
    </row>
    <row r="23" spans="1:8" ht="14.5">
      <c r="A23" s="18" t="s">
        <v>71</v>
      </c>
      <c r="B23" s="19">
        <v>0.38300000000000001</v>
      </c>
      <c r="C23" s="19">
        <v>0.66600000000000004</v>
      </c>
      <c r="D23" s="19">
        <v>0.83299999999999996</v>
      </c>
      <c r="E23" s="7"/>
      <c r="F23" s="7"/>
      <c r="G23" s="7"/>
      <c r="H23" s="7"/>
    </row>
    <row r="24" spans="1:8" ht="14.5">
      <c r="A24" s="20" t="s">
        <v>72</v>
      </c>
      <c r="B24" s="21">
        <v>0.09</v>
      </c>
      <c r="C24" s="21">
        <v>0.13</v>
      </c>
      <c r="D24" s="21">
        <v>0.16600000000000001</v>
      </c>
      <c r="E24" s="7"/>
      <c r="F24" s="7"/>
      <c r="G24" s="7"/>
      <c r="H24" s="7"/>
    </row>
    <row r="25" spans="1:8" ht="14.5">
      <c r="A25" s="18" t="s">
        <v>73</v>
      </c>
      <c r="B25" s="19">
        <v>0.33300000000000002</v>
      </c>
      <c r="C25" s="19">
        <v>0.59</v>
      </c>
      <c r="D25" s="19">
        <v>0.76600000000000001</v>
      </c>
      <c r="E25" s="7"/>
      <c r="F25" s="7"/>
      <c r="G25" s="7"/>
      <c r="H25" s="7"/>
    </row>
    <row r="26" spans="1:8" ht="14.5">
      <c r="A26" s="20" t="s">
        <v>74</v>
      </c>
      <c r="B26" s="21">
        <v>0.01</v>
      </c>
      <c r="C26" s="21">
        <v>2.1000000000000001E-2</v>
      </c>
      <c r="D26" s="21">
        <v>3.3000000000000002E-2</v>
      </c>
      <c r="E26" s="7"/>
      <c r="F26" s="7"/>
      <c r="G26" s="7"/>
      <c r="H26" s="7"/>
    </row>
    <row r="27" spans="1:8" ht="14.5">
      <c r="A27" s="18" t="s">
        <v>75</v>
      </c>
      <c r="B27" s="19">
        <v>0.53</v>
      </c>
      <c r="C27" s="19">
        <v>0.91</v>
      </c>
      <c r="D27" s="19">
        <v>1.1100000000000001</v>
      </c>
      <c r="E27" s="7"/>
      <c r="F27" s="7"/>
      <c r="G27" s="7"/>
      <c r="H27" s="7"/>
    </row>
    <row r="28" spans="1:8" ht="14.5">
      <c r="A28" s="20" t="s">
        <v>76</v>
      </c>
      <c r="B28" s="21">
        <v>1.1599999999999999</v>
      </c>
      <c r="C28" s="21">
        <v>1.8</v>
      </c>
      <c r="D28" s="21">
        <v>2</v>
      </c>
      <c r="E28" s="7"/>
      <c r="F28" s="7"/>
      <c r="G28" s="7"/>
      <c r="H28" s="7"/>
    </row>
    <row r="29" spans="1:8" ht="14.5">
      <c r="A29" s="18" t="s">
        <v>77</v>
      </c>
      <c r="B29" s="19">
        <v>0.53</v>
      </c>
      <c r="C29" s="19">
        <v>0.91</v>
      </c>
      <c r="D29" s="19">
        <v>1.1100000000000001</v>
      </c>
      <c r="E29" s="7"/>
      <c r="F29" s="7"/>
      <c r="G29" s="7"/>
      <c r="H29" s="7"/>
    </row>
    <row r="30" spans="1:8" ht="14.5">
      <c r="A30" s="20" t="s">
        <v>78</v>
      </c>
      <c r="B30" s="21">
        <v>0.78</v>
      </c>
      <c r="C30" s="21">
        <v>1.33</v>
      </c>
      <c r="D30" s="21">
        <v>1.7</v>
      </c>
      <c r="E30" s="7"/>
      <c r="F30" s="7"/>
      <c r="G30" s="7"/>
      <c r="H30" s="7"/>
    </row>
    <row r="31" spans="1:8" ht="14.5">
      <c r="A31" s="18" t="s">
        <v>79</v>
      </c>
      <c r="B31" s="19">
        <v>0.11</v>
      </c>
      <c r="C31" s="19">
        <v>0.2</v>
      </c>
      <c r="D31" s="19">
        <v>0.25</v>
      </c>
      <c r="E31" s="7"/>
      <c r="F31" s="7"/>
      <c r="G31" s="7"/>
      <c r="H31" s="7"/>
    </row>
    <row r="32" spans="1:8" ht="14.5">
      <c r="A32" s="20" t="s">
        <v>80</v>
      </c>
      <c r="B32" s="21">
        <v>0.11600000000000001</v>
      </c>
      <c r="C32" s="21">
        <v>0.17499999999999999</v>
      </c>
      <c r="D32" s="21">
        <v>0.22500000000000001</v>
      </c>
      <c r="E32" s="7"/>
      <c r="F32" s="7"/>
      <c r="G32" s="7"/>
      <c r="H32" s="7"/>
    </row>
    <row r="33" spans="1:8" ht="14.5">
      <c r="A33" s="18" t="s">
        <v>81</v>
      </c>
      <c r="B33" s="19">
        <v>0.19</v>
      </c>
      <c r="C33" s="19">
        <v>0.31</v>
      </c>
      <c r="D33" s="19">
        <v>0.4</v>
      </c>
      <c r="E33" s="7"/>
      <c r="F33" s="7"/>
      <c r="G33" s="7"/>
      <c r="H33" s="7"/>
    </row>
    <row r="34" spans="1:8" ht="14.5">
      <c r="A34" s="20" t="s">
        <v>82</v>
      </c>
      <c r="B34" s="21">
        <v>7.0000000000000007E-2</v>
      </c>
      <c r="C34" s="21">
        <v>0.11600000000000001</v>
      </c>
      <c r="D34" s="21">
        <v>0.15</v>
      </c>
      <c r="E34" s="7"/>
      <c r="F34" s="7"/>
      <c r="G34" s="7"/>
      <c r="H34" s="7"/>
    </row>
    <row r="35" spans="1:8" ht="14.5">
      <c r="A35" s="18" t="s">
        <v>83</v>
      </c>
      <c r="B35" s="19">
        <v>0.05</v>
      </c>
      <c r="C35" s="19">
        <v>0.108</v>
      </c>
      <c r="D35" s="19">
        <v>0.15</v>
      </c>
      <c r="E35" s="7"/>
      <c r="F35" s="7"/>
      <c r="G35" s="7"/>
      <c r="H35" s="7"/>
    </row>
    <row r="36" spans="1:8" ht="14.5">
      <c r="A36" s="20" t="s">
        <v>84</v>
      </c>
      <c r="B36" s="21">
        <v>0.108</v>
      </c>
      <c r="C36" s="21">
        <v>0.17499999999999999</v>
      </c>
      <c r="D36" s="21">
        <v>0.23300000000000001</v>
      </c>
      <c r="E36" s="7"/>
      <c r="F36" s="7"/>
      <c r="G36" s="7"/>
      <c r="H36" s="7"/>
    </row>
    <row r="37" spans="1:8" ht="14.5">
      <c r="A37" s="18" t="s">
        <v>85</v>
      </c>
      <c r="B37" s="19">
        <v>1.1659999999999999</v>
      </c>
      <c r="C37" s="19">
        <v>1.8660000000000001</v>
      </c>
      <c r="D37" s="19">
        <v>2.3660000000000001</v>
      </c>
      <c r="E37" s="7"/>
      <c r="F37" s="7"/>
      <c r="G37" s="7"/>
      <c r="H37" s="7"/>
    </row>
    <row r="38" spans="1:8" ht="14.5">
      <c r="A38" s="16" t="s">
        <v>86</v>
      </c>
      <c r="B38" s="17" t="s">
        <v>47</v>
      </c>
      <c r="C38" s="17" t="s">
        <v>48</v>
      </c>
      <c r="D38" s="17" t="s">
        <v>49</v>
      </c>
      <c r="E38" s="7"/>
      <c r="F38" s="7"/>
      <c r="G38" s="7"/>
      <c r="H38" s="7"/>
    </row>
    <row r="39" spans="1:8" ht="14.5">
      <c r="A39" s="24" t="s">
        <v>30</v>
      </c>
      <c r="B39" s="17">
        <v>0</v>
      </c>
      <c r="C39" s="17">
        <v>0</v>
      </c>
      <c r="D39" s="17">
        <v>0</v>
      </c>
      <c r="E39" s="7"/>
      <c r="F39" s="7"/>
      <c r="G39" s="7"/>
      <c r="H39" s="7"/>
    </row>
    <row r="40" spans="1:8" ht="14.5">
      <c r="A40" s="18" t="s">
        <v>87</v>
      </c>
      <c r="B40" s="19">
        <v>4.4999999999999998E-2</v>
      </c>
      <c r="C40" s="19">
        <v>0.222</v>
      </c>
      <c r="D40" s="19">
        <v>0.1</v>
      </c>
      <c r="E40" s="7"/>
      <c r="F40" s="7"/>
      <c r="G40" s="7"/>
      <c r="H40" s="7"/>
    </row>
    <row r="41" spans="1:8" ht="14.5">
      <c r="A41" s="20" t="s">
        <v>88</v>
      </c>
      <c r="B41" s="21">
        <v>3.5999999999999997E-2</v>
      </c>
      <c r="C41" s="21">
        <v>6.0999999999999999E-2</v>
      </c>
      <c r="D41" s="21">
        <v>0.08</v>
      </c>
      <c r="E41" s="7"/>
      <c r="F41" s="7"/>
      <c r="G41" s="7"/>
      <c r="H41" s="7"/>
    </row>
    <row r="42" spans="1:8" ht="14.5">
      <c r="A42" s="18" t="s">
        <v>89</v>
      </c>
      <c r="B42" s="22" t="s">
        <v>90</v>
      </c>
      <c r="C42" s="22" t="s">
        <v>90</v>
      </c>
      <c r="D42" s="22" t="s">
        <v>90</v>
      </c>
      <c r="E42" s="7"/>
      <c r="F42" s="7"/>
      <c r="G42" s="7"/>
      <c r="H42" s="7"/>
    </row>
    <row r="43" spans="1:8" ht="14.5">
      <c r="A43" s="20" t="s">
        <v>91</v>
      </c>
      <c r="B43" s="23" t="s">
        <v>90</v>
      </c>
      <c r="C43" s="23" t="s">
        <v>90</v>
      </c>
      <c r="D43" s="23" t="s">
        <v>90</v>
      </c>
      <c r="E43" s="7"/>
      <c r="F43" s="7"/>
      <c r="G43" s="7"/>
      <c r="H43" s="7"/>
    </row>
    <row r="44" spans="1:8" ht="14.5">
      <c r="A44" s="18" t="s">
        <v>92</v>
      </c>
      <c r="B44" s="22" t="s">
        <v>90</v>
      </c>
      <c r="C44" s="22" t="s">
        <v>90</v>
      </c>
      <c r="D44" s="19">
        <v>1.0999999999999999E-2</v>
      </c>
    </row>
    <row r="45" spans="1:8" ht="14.5">
      <c r="A45" s="20" t="s">
        <v>93</v>
      </c>
      <c r="B45" s="21">
        <v>2.1000000000000001E-2</v>
      </c>
      <c r="C45" s="21">
        <v>2.8000000000000001E-2</v>
      </c>
      <c r="D45" s="21">
        <v>3.7999999999999999E-2</v>
      </c>
    </row>
    <row r="46" spans="1:8" ht="14.5">
      <c r="A46" s="18" t="s">
        <v>94</v>
      </c>
      <c r="B46" s="19">
        <v>4.4999999999999998E-2</v>
      </c>
      <c r="C46" s="19">
        <v>7.4999999999999997E-2</v>
      </c>
      <c r="D46" s="19">
        <v>0.1</v>
      </c>
    </row>
    <row r="47" spans="1:8" ht="14.5">
      <c r="A47" s="20" t="s">
        <v>95</v>
      </c>
      <c r="B47" s="21">
        <v>0.05</v>
      </c>
      <c r="C47" s="21">
        <v>0.108</v>
      </c>
      <c r="D47" s="21">
        <v>0.14099999999999999</v>
      </c>
    </row>
    <row r="48" spans="1:8" ht="14.5">
      <c r="A48" s="18" t="s">
        <v>96</v>
      </c>
      <c r="B48" s="19">
        <v>6.6000000000000003E-2</v>
      </c>
      <c r="C48" s="19">
        <v>0.11600000000000001</v>
      </c>
      <c r="D48" s="19">
        <v>0.158</v>
      </c>
    </row>
    <row r="49" spans="1:4" ht="14.5">
      <c r="A49" s="20" t="s">
        <v>97</v>
      </c>
      <c r="B49" s="21">
        <v>8.3000000000000004E-2</v>
      </c>
      <c r="C49" s="21">
        <v>0.14099999999999999</v>
      </c>
      <c r="D49" s="21">
        <v>0.191</v>
      </c>
    </row>
    <row r="50" spans="1:4" ht="14.5">
      <c r="A50" s="18" t="s">
        <v>98</v>
      </c>
      <c r="B50" s="19">
        <v>0.1</v>
      </c>
      <c r="C50" s="19">
        <v>0.158</v>
      </c>
      <c r="D50" s="19">
        <v>0.20799999999999999</v>
      </c>
    </row>
    <row r="51" spans="1:4" ht="14.5">
      <c r="A51" s="20" t="s">
        <v>99</v>
      </c>
      <c r="B51" s="21">
        <v>0.11600000000000001</v>
      </c>
      <c r="C51" s="21">
        <v>0.183</v>
      </c>
      <c r="D51" s="21">
        <v>0.24099999999999999</v>
      </c>
    </row>
    <row r="52" spans="1:4" ht="14.5">
      <c r="A52" s="18" t="s">
        <v>100</v>
      </c>
      <c r="B52" s="22" t="s">
        <v>101</v>
      </c>
      <c r="C52" s="19">
        <v>1.0999999999999999E-2</v>
      </c>
      <c r="D52" s="19">
        <v>1.6E-2</v>
      </c>
    </row>
    <row r="53" spans="1:4" ht="14.5">
      <c r="A53" s="20" t="s">
        <v>102</v>
      </c>
      <c r="B53" s="21">
        <v>3.5999999999999997E-2</v>
      </c>
      <c r="C53" s="21">
        <v>5.0999999999999997E-2</v>
      </c>
      <c r="D53" s="21">
        <v>6.0999999999999999E-2</v>
      </c>
    </row>
    <row r="54" spans="1:4" ht="14.5">
      <c r="A54" s="18" t="s">
        <v>103</v>
      </c>
      <c r="B54" s="19">
        <v>6.6000000000000003E-2</v>
      </c>
      <c r="C54" s="19">
        <v>0.125</v>
      </c>
      <c r="D54" s="19">
        <v>0.16600000000000001</v>
      </c>
    </row>
    <row r="55" spans="1:4" ht="14.5">
      <c r="A55" s="20" t="s">
        <v>104</v>
      </c>
      <c r="B55" s="21">
        <v>3.3000000000000002E-2</v>
      </c>
      <c r="C55" s="21">
        <v>5.5E-2</v>
      </c>
      <c r="D55" s="21">
        <v>7.0000000000000007E-2</v>
      </c>
    </row>
    <row r="56" spans="1:4" ht="14.5">
      <c r="A56" s="18" t="s">
        <v>105</v>
      </c>
      <c r="B56" s="19">
        <v>4.4999999999999998E-2</v>
      </c>
      <c r="C56" s="19">
        <v>7.0999999999999994E-2</v>
      </c>
      <c r="D56" s="19">
        <v>0.125</v>
      </c>
    </row>
    <row r="57" spans="1:4" ht="14.5">
      <c r="A57" s="20" t="s">
        <v>106</v>
      </c>
      <c r="B57" s="21">
        <v>6.8000000000000005E-2</v>
      </c>
      <c r="C57" s="21">
        <v>0.11600000000000001</v>
      </c>
      <c r="D57" s="21">
        <v>0.15</v>
      </c>
    </row>
    <row r="58" spans="1:4" ht="14.5">
      <c r="A58" s="18" t="s">
        <v>107</v>
      </c>
      <c r="B58" s="19">
        <v>8.3000000000000004E-2</v>
      </c>
      <c r="C58" s="19">
        <v>0.125</v>
      </c>
      <c r="D58" s="19">
        <v>0.16600000000000001</v>
      </c>
    </row>
    <row r="59" spans="1:4" ht="14.5">
      <c r="A59" s="20" t="s">
        <v>108</v>
      </c>
      <c r="B59" s="21">
        <v>9.0999999999999998E-2</v>
      </c>
      <c r="C59" s="21">
        <v>0.15</v>
      </c>
      <c r="D59" s="21">
        <v>0.191</v>
      </c>
    </row>
    <row r="60" spans="1:4" ht="14.5">
      <c r="A60" s="18" t="s">
        <v>109</v>
      </c>
      <c r="B60" s="19">
        <v>0.125</v>
      </c>
      <c r="C60" s="19">
        <v>0.20799999999999999</v>
      </c>
      <c r="D60" s="19">
        <v>0.26600000000000001</v>
      </c>
    </row>
    <row r="61" spans="1:4" ht="14.5">
      <c r="A61" s="20" t="s">
        <v>110</v>
      </c>
      <c r="B61" s="21">
        <v>0.13300000000000001</v>
      </c>
      <c r="C61" s="21">
        <v>0.216</v>
      </c>
      <c r="D61" s="21">
        <v>0.28299999999999997</v>
      </c>
    </row>
    <row r="62" spans="1:4" ht="14.5">
      <c r="A62" s="18" t="s">
        <v>111</v>
      </c>
      <c r="B62" s="19">
        <v>6.0999999999999999E-2</v>
      </c>
      <c r="C62" s="19">
        <v>0.111</v>
      </c>
      <c r="D62" s="19">
        <v>0.14799999999999999</v>
      </c>
    </row>
    <row r="63" spans="1:4" ht="14.5">
      <c r="A63" s="20" t="s">
        <v>112</v>
      </c>
      <c r="B63" s="21">
        <v>8.4000000000000005E-2</v>
      </c>
      <c r="C63" s="21">
        <v>0.14099999999999999</v>
      </c>
      <c r="D63" s="21">
        <v>0.186</v>
      </c>
    </row>
    <row r="64" spans="1:4" ht="14.5">
      <c r="A64" s="18" t="s">
        <v>113</v>
      </c>
      <c r="B64" s="19">
        <v>0.108</v>
      </c>
      <c r="C64" s="19">
        <v>0.183</v>
      </c>
      <c r="D64" s="19">
        <v>0.22800000000000001</v>
      </c>
    </row>
    <row r="65" spans="1:4" ht="14.5">
      <c r="A65" s="20" t="s">
        <v>114</v>
      </c>
      <c r="B65" s="21">
        <v>0.11600000000000001</v>
      </c>
      <c r="C65" s="21">
        <v>0.20100000000000001</v>
      </c>
      <c r="D65" s="21">
        <v>0.254</v>
      </c>
    </row>
    <row r="66" spans="1:4" ht="14.5">
      <c r="A66" s="18" t="s">
        <v>115</v>
      </c>
      <c r="B66" s="19">
        <v>0.129</v>
      </c>
      <c r="C66" s="19">
        <v>0.21</v>
      </c>
      <c r="D66" s="19">
        <v>0.26600000000000001</v>
      </c>
    </row>
    <row r="67" spans="1:4" ht="14.5">
      <c r="A67" s="20" t="s">
        <v>116</v>
      </c>
      <c r="B67" s="21">
        <v>0.13300000000000001</v>
      </c>
      <c r="C67" s="21">
        <v>0.22</v>
      </c>
      <c r="D67" s="21">
        <v>0.27400000000000002</v>
      </c>
    </row>
    <row r="68" spans="1:4" ht="14.5">
      <c r="A68" s="18" t="s">
        <v>117</v>
      </c>
      <c r="B68" s="19">
        <v>0.14299999999999999</v>
      </c>
      <c r="C68" s="19">
        <v>0.23300000000000001</v>
      </c>
      <c r="D68" s="19">
        <v>0.29499999999999998</v>
      </c>
    </row>
    <row r="69" spans="1:4" ht="14.5">
      <c r="A69" s="20" t="s">
        <v>118</v>
      </c>
      <c r="B69" s="21">
        <v>0.14699999999999999</v>
      </c>
      <c r="C69" s="21">
        <v>0.245</v>
      </c>
      <c r="D69" s="21">
        <v>0.28299999999999997</v>
      </c>
    </row>
    <row r="70" spans="1:4" ht="14.5">
      <c r="A70" s="18" t="s">
        <v>119</v>
      </c>
      <c r="B70" s="19">
        <v>0.152</v>
      </c>
      <c r="C70" s="19">
        <v>0.26800000000000002</v>
      </c>
      <c r="D70" s="19">
        <v>0.28899999999999998</v>
      </c>
    </row>
    <row r="71" spans="1:4" ht="14.5">
      <c r="A71" s="20" t="s">
        <v>120</v>
      </c>
      <c r="B71" s="21">
        <v>0.152</v>
      </c>
      <c r="C71" s="21">
        <v>0.26900000000000002</v>
      </c>
      <c r="D71" s="21">
        <v>0.28899999999999998</v>
      </c>
    </row>
    <row r="72" spans="1:4" ht="14.5">
      <c r="A72" s="18" t="s">
        <v>121</v>
      </c>
      <c r="B72" s="19">
        <v>0.21199999999999999</v>
      </c>
      <c r="C72" s="19">
        <v>0.33900000000000002</v>
      </c>
      <c r="D72" s="19">
        <v>0.43099999999999999</v>
      </c>
    </row>
    <row r="73" spans="1:4" ht="14.5">
      <c r="A73" s="20" t="s">
        <v>122</v>
      </c>
      <c r="B73" s="21">
        <v>0.11600000000000001</v>
      </c>
      <c r="C73" s="21">
        <v>0.191</v>
      </c>
      <c r="D73" s="21">
        <v>0.25</v>
      </c>
    </row>
    <row r="74" spans="1:4" ht="14.5">
      <c r="A74" s="18" t="s">
        <v>123</v>
      </c>
      <c r="B74" s="19">
        <v>2.5000000000000001E-2</v>
      </c>
      <c r="C74" s="19">
        <v>0.04</v>
      </c>
      <c r="D74" s="19">
        <v>5.5E-2</v>
      </c>
    </row>
    <row r="75" spans="1:4" ht="14.5">
      <c r="A75" s="20" t="s">
        <v>124</v>
      </c>
      <c r="B75" s="21">
        <v>0.08</v>
      </c>
      <c r="C75" s="21">
        <v>0.13</v>
      </c>
      <c r="D75" s="21">
        <v>0.16</v>
      </c>
    </row>
    <row r="76" spans="1:4" ht="14.5">
      <c r="A76" s="18" t="s">
        <v>125</v>
      </c>
      <c r="B76" s="19">
        <v>0.15</v>
      </c>
      <c r="C76" s="19">
        <v>0.23499999999999999</v>
      </c>
      <c r="D76" s="19">
        <v>0.3</v>
      </c>
    </row>
    <row r="77" spans="1:4" ht="14.5">
      <c r="A77" s="20" t="s">
        <v>126</v>
      </c>
      <c r="B77" s="21">
        <v>0.27</v>
      </c>
      <c r="C77" s="21">
        <v>0.45</v>
      </c>
      <c r="D77" s="21">
        <v>0.56999999999999995</v>
      </c>
    </row>
    <row r="78" spans="1:4" ht="14.5">
      <c r="A78" s="18" t="s">
        <v>127</v>
      </c>
      <c r="B78" s="19">
        <v>0.33</v>
      </c>
      <c r="C78" s="19">
        <v>0.54</v>
      </c>
      <c r="D78" s="19">
        <v>0.7</v>
      </c>
    </row>
    <row r="79" spans="1:4" ht="14.5">
      <c r="A79" s="20" t="s">
        <v>128</v>
      </c>
      <c r="B79" s="21">
        <v>6.5000000000000002E-2</v>
      </c>
      <c r="C79" s="21">
        <v>0.158</v>
      </c>
      <c r="D79" s="21">
        <v>0.2</v>
      </c>
    </row>
    <row r="80" spans="1:4" ht="14.5">
      <c r="A80" s="18" t="s">
        <v>129</v>
      </c>
      <c r="B80" s="19">
        <v>0.34</v>
      </c>
      <c r="C80" s="19">
        <v>0.57999999999999996</v>
      </c>
      <c r="D80" s="19">
        <v>0.76600000000000001</v>
      </c>
    </row>
    <row r="81" spans="1:4" ht="14.5">
      <c r="A81" s="20" t="s">
        <v>130</v>
      </c>
      <c r="B81" s="21">
        <v>0.51600000000000001</v>
      </c>
      <c r="C81" s="21">
        <v>0.85</v>
      </c>
      <c r="D81" s="21">
        <v>1.1299999999999999</v>
      </c>
    </row>
    <row r="82" spans="1:4" ht="14.5">
      <c r="A82" s="18" t="s">
        <v>131</v>
      </c>
      <c r="B82" s="19">
        <v>0.06</v>
      </c>
      <c r="C82" s="19">
        <v>8.3000000000000004E-2</v>
      </c>
      <c r="D82" s="19">
        <v>0.33</v>
      </c>
    </row>
    <row r="83" spans="1:4" ht="14.5">
      <c r="A83" s="20" t="s">
        <v>132</v>
      </c>
      <c r="B83" s="21">
        <v>0.53</v>
      </c>
      <c r="C83" s="21">
        <v>0.8</v>
      </c>
      <c r="D83" s="21">
        <v>1.03</v>
      </c>
    </row>
    <row r="84" spans="1:4" ht="14.5">
      <c r="A84" s="18" t="s">
        <v>133</v>
      </c>
      <c r="B84" s="19">
        <v>0.66</v>
      </c>
      <c r="C84" s="19">
        <v>1.08</v>
      </c>
      <c r="D84" s="19">
        <v>1.36</v>
      </c>
    </row>
    <row r="85" spans="1:4" ht="14.5">
      <c r="A85" s="20" t="s">
        <v>134</v>
      </c>
      <c r="B85" s="21">
        <v>1.6E-2</v>
      </c>
      <c r="C85" s="21">
        <v>7.4999999999999997E-2</v>
      </c>
      <c r="D85" s="21">
        <v>0.1</v>
      </c>
    </row>
    <row r="86" spans="1:4" ht="14.5">
      <c r="A86" s="18" t="s">
        <v>135</v>
      </c>
      <c r="B86" s="19">
        <v>0.02</v>
      </c>
      <c r="C86" s="19">
        <v>2.5999999999999999E-2</v>
      </c>
      <c r="D86" s="19">
        <v>3.3000000000000002E-2</v>
      </c>
    </row>
    <row r="87" spans="1:4" ht="14.5">
      <c r="A87" s="20" t="s">
        <v>136</v>
      </c>
      <c r="B87" s="21">
        <v>2.5999999999999999E-2</v>
      </c>
      <c r="C87" s="21">
        <v>4.2999999999999997E-2</v>
      </c>
      <c r="D87" s="21">
        <v>5.6000000000000001E-2</v>
      </c>
    </row>
    <row r="88" spans="1:4" ht="14.5">
      <c r="A88" s="18" t="s">
        <v>137</v>
      </c>
      <c r="B88" s="19">
        <v>0.1</v>
      </c>
      <c r="C88" s="19">
        <v>0.158</v>
      </c>
      <c r="D88" s="19">
        <v>0.2</v>
      </c>
    </row>
    <row r="89" spans="1:4" ht="14.5">
      <c r="A89" s="20" t="s">
        <v>138</v>
      </c>
      <c r="B89" s="21">
        <v>0.108</v>
      </c>
      <c r="C89" s="21">
        <v>0.16</v>
      </c>
      <c r="D89" s="21">
        <v>0.21</v>
      </c>
    </row>
    <row r="90" spans="1:4" ht="14.5">
      <c r="A90" s="18" t="s">
        <v>139</v>
      </c>
      <c r="B90" s="19">
        <v>0.14000000000000001</v>
      </c>
      <c r="C90" s="19">
        <v>0.22</v>
      </c>
      <c r="D90" s="19">
        <v>0.28999999999999998</v>
      </c>
    </row>
    <row r="91" spans="1:4" ht="14.5">
      <c r="A91" s="20" t="s">
        <v>140</v>
      </c>
      <c r="B91" s="21">
        <v>0.14499999999999999</v>
      </c>
      <c r="C91" s="21">
        <v>0.22500000000000001</v>
      </c>
      <c r="D91" s="21">
        <v>0.3</v>
      </c>
    </row>
    <row r="92" spans="1:4" ht="14.5">
      <c r="A92" s="18" t="s">
        <v>141</v>
      </c>
      <c r="B92" s="19">
        <v>1.6E-2</v>
      </c>
      <c r="C92" s="19">
        <v>6.6000000000000003E-2</v>
      </c>
      <c r="D92" s="19">
        <v>0.1</v>
      </c>
    </row>
    <row r="93" spans="1:4" ht="14.5">
      <c r="A93" s="20" t="s">
        <v>142</v>
      </c>
      <c r="B93" s="21">
        <v>1E-3</v>
      </c>
      <c r="C93" s="21">
        <v>2.1000000000000001E-2</v>
      </c>
      <c r="D93" s="21">
        <v>2.5000000000000001E-2</v>
      </c>
    </row>
    <row r="94" spans="1:4" ht="14.5">
      <c r="A94" s="18" t="s">
        <v>143</v>
      </c>
      <c r="B94" s="19">
        <v>6.0000000000000001E-3</v>
      </c>
      <c r="C94" s="19">
        <v>2.4E-2</v>
      </c>
      <c r="D94" s="19">
        <v>2.8000000000000001E-2</v>
      </c>
    </row>
    <row r="95" spans="1:4" ht="14.5">
      <c r="A95" s="20" t="s">
        <v>144</v>
      </c>
      <c r="B95" s="21">
        <v>8.0000000000000002E-3</v>
      </c>
      <c r="C95" s="21">
        <v>2.5000000000000001E-2</v>
      </c>
      <c r="D95" s="21">
        <v>3.3000000000000002E-2</v>
      </c>
    </row>
    <row r="96" spans="1:4" ht="14.5">
      <c r="A96" s="18" t="s">
        <v>145</v>
      </c>
      <c r="B96" s="19">
        <v>0.01</v>
      </c>
      <c r="C96" s="19">
        <v>2.5999999999999999E-2</v>
      </c>
      <c r="D96" s="19">
        <v>3.5999999999999997E-2</v>
      </c>
    </row>
    <row r="97" spans="1:4" ht="14.5">
      <c r="A97" s="20" t="s">
        <v>146</v>
      </c>
      <c r="B97" s="21">
        <v>1.2999999999999999E-2</v>
      </c>
      <c r="C97" s="21">
        <v>2.9000000000000001E-2</v>
      </c>
      <c r="D97" s="21">
        <v>0.04</v>
      </c>
    </row>
    <row r="98" spans="1:4" ht="14.5">
      <c r="A98" s="18" t="s">
        <v>147</v>
      </c>
      <c r="B98" s="19">
        <v>1.6E-2</v>
      </c>
      <c r="C98" s="19">
        <v>3.1E-2</v>
      </c>
      <c r="D98" s="19">
        <v>4.4999999999999998E-2</v>
      </c>
    </row>
    <row r="99" spans="1:4" ht="14.5">
      <c r="A99" s="20" t="s">
        <v>148</v>
      </c>
      <c r="B99" s="21">
        <v>1E-3</v>
      </c>
      <c r="C99" s="21">
        <v>2.3E-2</v>
      </c>
      <c r="D99" s="21">
        <v>2.5000000000000001E-2</v>
      </c>
    </row>
    <row r="100" spans="1:4" ht="14.5">
      <c r="A100" s="18" t="s">
        <v>149</v>
      </c>
      <c r="B100" s="19">
        <v>1.7999999999999999E-2</v>
      </c>
      <c r="C100" s="19">
        <v>0.03</v>
      </c>
      <c r="D100" s="19">
        <v>4.2999999999999997E-2</v>
      </c>
    </row>
    <row r="101" spans="1:4" ht="14.5">
      <c r="A101" s="20" t="s">
        <v>150</v>
      </c>
      <c r="B101" s="21">
        <v>2.1000000000000001E-2</v>
      </c>
      <c r="C101" s="21">
        <v>3.7999999999999999E-2</v>
      </c>
      <c r="D101" s="21">
        <v>5.2999999999999999E-2</v>
      </c>
    </row>
    <row r="102" spans="1:4" ht="14.5">
      <c r="A102" s="18" t="s">
        <v>151</v>
      </c>
      <c r="B102" s="19">
        <v>2.8000000000000001E-2</v>
      </c>
      <c r="C102" s="19">
        <v>5.8000000000000003E-2</v>
      </c>
      <c r="D102" s="19">
        <v>6.8000000000000005E-2</v>
      </c>
    </row>
    <row r="103" spans="1:4" ht="14.5">
      <c r="A103" s="20" t="s">
        <v>152</v>
      </c>
      <c r="B103" s="21">
        <v>3.5999999999999997E-2</v>
      </c>
      <c r="C103" s="21">
        <v>6.3E-2</v>
      </c>
      <c r="D103" s="21">
        <v>8.7999999999999995E-2</v>
      </c>
    </row>
    <row r="104" spans="1:4" ht="14.5">
      <c r="A104" s="18" t="s">
        <v>153</v>
      </c>
      <c r="B104" s="19">
        <v>4.1000000000000002E-2</v>
      </c>
      <c r="C104" s="19">
        <v>8.3000000000000004E-2</v>
      </c>
      <c r="D104" s="19">
        <v>0.11600000000000001</v>
      </c>
    </row>
    <row r="105" spans="1:4" ht="14.5">
      <c r="A105" s="20" t="s">
        <v>154</v>
      </c>
      <c r="B105" s="21">
        <v>0.17499999999999999</v>
      </c>
      <c r="C105" s="21">
        <v>0.28299999999999997</v>
      </c>
      <c r="D105" s="21">
        <v>0.41599999999999998</v>
      </c>
    </row>
    <row r="106" spans="1:4" ht="14.5">
      <c r="A106" s="18" t="s">
        <v>155</v>
      </c>
      <c r="B106" s="19">
        <v>4.2000000000000003E-2</v>
      </c>
      <c r="C106" s="19">
        <v>6.7000000000000004E-2</v>
      </c>
      <c r="D106" s="19">
        <v>8.6999999999999994E-2</v>
      </c>
    </row>
    <row r="107" spans="1:4" ht="14.5">
      <c r="A107" s="20" t="s">
        <v>156</v>
      </c>
      <c r="B107" s="21">
        <v>5.8000000000000003E-2</v>
      </c>
      <c r="C107" s="21">
        <v>0.1</v>
      </c>
      <c r="D107" s="21">
        <v>0.125</v>
      </c>
    </row>
    <row r="108" spans="1:4" ht="14.5">
      <c r="A108" s="18" t="s">
        <v>157</v>
      </c>
      <c r="B108" s="19">
        <v>0.05</v>
      </c>
      <c r="C108" s="19">
        <v>0.108</v>
      </c>
      <c r="D108" s="19">
        <v>0.14099999999999999</v>
      </c>
    </row>
    <row r="109" spans="1:4" ht="14.5">
      <c r="A109" s="20" t="s">
        <v>158</v>
      </c>
      <c r="B109" s="21">
        <v>4.4999999999999998E-2</v>
      </c>
      <c r="C109" s="21">
        <v>7.8E-2</v>
      </c>
      <c r="D109" s="21">
        <v>0.125</v>
      </c>
    </row>
    <row r="110" spans="1:4" ht="14.5">
      <c r="A110" s="18" t="s">
        <v>159</v>
      </c>
      <c r="B110" s="19">
        <v>0.05</v>
      </c>
      <c r="C110" s="19">
        <v>8.6999999999999994E-2</v>
      </c>
      <c r="D110" s="19">
        <v>0.15</v>
      </c>
    </row>
    <row r="111" spans="1:4" ht="14.5">
      <c r="A111" s="20" t="s">
        <v>160</v>
      </c>
      <c r="B111" s="21">
        <v>5.2999999999999999E-2</v>
      </c>
      <c r="C111" s="21">
        <v>0.11600000000000001</v>
      </c>
      <c r="D111" s="21">
        <v>0.16600000000000001</v>
      </c>
    </row>
    <row r="112" spans="1:4" ht="14.5">
      <c r="A112" s="18" t="s">
        <v>161</v>
      </c>
      <c r="B112" s="19">
        <v>5.6000000000000001E-2</v>
      </c>
      <c r="C112" s="19">
        <v>0.14099999999999999</v>
      </c>
      <c r="D112" s="19">
        <v>0.183</v>
      </c>
    </row>
    <row r="113" spans="1:4" ht="14.5">
      <c r="A113" s="20" t="s">
        <v>162</v>
      </c>
      <c r="B113" s="21">
        <v>0.06</v>
      </c>
      <c r="C113" s="21">
        <v>0.15</v>
      </c>
      <c r="D113" s="21">
        <v>0.191</v>
      </c>
    </row>
    <row r="114" spans="1:4" ht="14.5">
      <c r="A114" s="18" t="s">
        <v>163</v>
      </c>
      <c r="B114" s="19">
        <v>6.6000000000000003E-2</v>
      </c>
      <c r="C114" s="19">
        <v>0.15</v>
      </c>
      <c r="D114" s="19">
        <v>0.191</v>
      </c>
    </row>
    <row r="115" spans="1:4" ht="14.5">
      <c r="A115" s="20" t="s">
        <v>164</v>
      </c>
      <c r="B115" s="21">
        <v>3.3000000000000002E-2</v>
      </c>
      <c r="C115" s="21">
        <v>8.3000000000000004E-2</v>
      </c>
      <c r="D115" s="21">
        <v>0.108</v>
      </c>
    </row>
    <row r="116" spans="1:4" ht="14.5">
      <c r="A116" s="18" t="s">
        <v>165</v>
      </c>
      <c r="B116" s="19">
        <v>6.6000000000000003E-2</v>
      </c>
      <c r="C116" s="19">
        <v>0.112</v>
      </c>
      <c r="D116" s="19">
        <v>0.14199999999999999</v>
      </c>
    </row>
    <row r="117" spans="1:4" ht="14.5">
      <c r="A117" s="20" t="s">
        <v>166</v>
      </c>
      <c r="B117" s="21">
        <v>8.3000000000000004E-2</v>
      </c>
      <c r="C117" s="21">
        <v>0.13300000000000001</v>
      </c>
      <c r="D117" s="21">
        <v>0.17499999999999999</v>
      </c>
    </row>
    <row r="118" spans="1:4" ht="14.5">
      <c r="A118" s="18" t="s">
        <v>167</v>
      </c>
      <c r="B118" s="19">
        <v>0.35</v>
      </c>
      <c r="C118" s="19">
        <v>0.58299999999999996</v>
      </c>
      <c r="D118" s="19">
        <v>0.75</v>
      </c>
    </row>
    <row r="119" spans="1:4" ht="14.5">
      <c r="A119" s="20" t="s">
        <v>168</v>
      </c>
      <c r="B119" s="21">
        <v>0.183</v>
      </c>
      <c r="C119" s="21">
        <v>0.29499999999999998</v>
      </c>
      <c r="D119" s="21">
        <v>0.375</v>
      </c>
    </row>
    <row r="120" spans="1:4" ht="14.5">
      <c r="A120" s="18" t="s">
        <v>169</v>
      </c>
      <c r="B120" s="19">
        <v>2.8000000000000001E-2</v>
      </c>
      <c r="C120" s="19">
        <v>4.4999999999999998E-2</v>
      </c>
      <c r="D120" s="19">
        <v>0.06</v>
      </c>
    </row>
    <row r="121" spans="1:4" ht="14.5">
      <c r="A121" s="20" t="s">
        <v>170</v>
      </c>
      <c r="B121" s="21">
        <v>0.1</v>
      </c>
      <c r="C121" s="21">
        <v>0.158</v>
      </c>
      <c r="D121" s="21">
        <v>0.2</v>
      </c>
    </row>
    <row r="122" spans="1:4" ht="14.5">
      <c r="A122" s="18" t="s">
        <v>171</v>
      </c>
      <c r="B122" s="19">
        <v>0.15</v>
      </c>
      <c r="C122" s="19">
        <v>0.24099999999999999</v>
      </c>
      <c r="D122" s="19">
        <v>0.3</v>
      </c>
    </row>
    <row r="123" spans="1:4" ht="14.5">
      <c r="A123" s="20" t="s">
        <v>172</v>
      </c>
      <c r="B123" s="21">
        <v>0.28299999999999997</v>
      </c>
      <c r="C123" s="21">
        <v>0.45</v>
      </c>
      <c r="D123" s="21">
        <v>0.58299999999999996</v>
      </c>
    </row>
    <row r="124" spans="1:4" ht="14.5">
      <c r="A124" s="18" t="s">
        <v>173</v>
      </c>
      <c r="B124" s="19">
        <v>0.34100000000000003</v>
      </c>
      <c r="C124" s="19">
        <v>0.6</v>
      </c>
      <c r="D124" s="19">
        <v>0.78300000000000003</v>
      </c>
    </row>
    <row r="125" spans="1:4" ht="14.5">
      <c r="A125" s="20" t="s">
        <v>174</v>
      </c>
      <c r="B125" s="21">
        <v>2.5999999999999999E-2</v>
      </c>
      <c r="C125" s="21">
        <v>4.4999999999999998E-2</v>
      </c>
      <c r="D125" s="21">
        <v>5.5E-2</v>
      </c>
    </row>
    <row r="126" spans="1:4" ht="14.5">
      <c r="A126" s="18" t="s">
        <v>175</v>
      </c>
      <c r="B126" s="19">
        <v>0.15</v>
      </c>
      <c r="C126" s="19">
        <v>0.26600000000000001</v>
      </c>
      <c r="D126" s="19">
        <v>0.33300000000000002</v>
      </c>
    </row>
    <row r="127" spans="1:4" ht="14.5">
      <c r="A127" s="20" t="s">
        <v>176</v>
      </c>
      <c r="B127" s="21">
        <v>2.3E-2</v>
      </c>
      <c r="C127" s="21">
        <v>3.3000000000000002E-2</v>
      </c>
      <c r="D127" s="21">
        <v>4.1000000000000002E-2</v>
      </c>
    </row>
    <row r="128" spans="1:4" ht="14.5">
      <c r="A128" s="18" t="s">
        <v>177</v>
      </c>
      <c r="B128" s="22" t="s">
        <v>178</v>
      </c>
      <c r="C128" s="22" t="s">
        <v>178</v>
      </c>
      <c r="D128" s="22" t="s">
        <v>178</v>
      </c>
    </row>
    <row r="129" spans="1:4" ht="14.5">
      <c r="A129" s="20" t="s">
        <v>179</v>
      </c>
      <c r="B129" s="21">
        <v>3.3000000000000002E-2</v>
      </c>
      <c r="C129" s="21">
        <v>0.02</v>
      </c>
      <c r="D129" s="21">
        <v>2.1000000000000001E-2</v>
      </c>
    </row>
    <row r="130" spans="1:4" ht="14.5">
      <c r="A130" s="18" t="s">
        <v>180</v>
      </c>
      <c r="B130" s="19">
        <v>2.5000000000000001E-2</v>
      </c>
      <c r="C130" s="19">
        <v>3.5999999999999997E-2</v>
      </c>
      <c r="D130" s="19">
        <v>4.5999999999999999E-2</v>
      </c>
    </row>
    <row r="131" spans="1:4" ht="14.5">
      <c r="A131" s="20" t="s">
        <v>181</v>
      </c>
      <c r="B131" s="21">
        <v>0.03</v>
      </c>
      <c r="C131" s="21">
        <v>5.2999999999999999E-2</v>
      </c>
      <c r="D131" s="21">
        <v>6.6000000000000003E-2</v>
      </c>
    </row>
    <row r="132" spans="1:4" ht="14.5">
      <c r="A132" s="18" t="s">
        <v>182</v>
      </c>
      <c r="B132" s="19">
        <v>4.4999999999999998E-2</v>
      </c>
      <c r="C132" s="19">
        <v>7.0999999999999994E-2</v>
      </c>
      <c r="D132" s="19">
        <v>9.0999999999999998E-2</v>
      </c>
    </row>
    <row r="133" spans="1:4" ht="14.5">
      <c r="A133" s="20" t="s">
        <v>183</v>
      </c>
      <c r="B133" s="21">
        <v>5.6000000000000001E-2</v>
      </c>
      <c r="C133" s="21">
        <v>9.0999999999999998E-2</v>
      </c>
      <c r="D133" s="21">
        <v>0.11600000000000001</v>
      </c>
    </row>
    <row r="134" spans="1:4" ht="14.5">
      <c r="A134" s="18" t="s">
        <v>184</v>
      </c>
      <c r="B134" s="19">
        <v>7.0000000000000007E-2</v>
      </c>
      <c r="C134" s="19">
        <v>0.108</v>
      </c>
      <c r="D134" s="19">
        <v>0.13300000000000001</v>
      </c>
    </row>
    <row r="135" spans="1:4" ht="14.5">
      <c r="A135" s="20" t="s">
        <v>185</v>
      </c>
      <c r="B135" s="21">
        <v>8.3000000000000004E-2</v>
      </c>
      <c r="C135" s="21">
        <v>0.125</v>
      </c>
      <c r="D135" s="21">
        <v>0.158</v>
      </c>
    </row>
    <row r="136" spans="1:4" ht="14.5">
      <c r="A136" s="18" t="s">
        <v>186</v>
      </c>
      <c r="B136" s="19">
        <v>2.8000000000000001E-2</v>
      </c>
      <c r="C136" s="19">
        <v>5.2999999999999999E-2</v>
      </c>
      <c r="D136" s="19">
        <v>7.8E-2</v>
      </c>
    </row>
    <row r="137" spans="1:4" ht="14.5">
      <c r="A137" s="20" t="s">
        <v>187</v>
      </c>
      <c r="B137" s="21">
        <v>0.06</v>
      </c>
      <c r="C137" s="21">
        <v>0.1</v>
      </c>
      <c r="D137" s="21">
        <v>0.11600000000000001</v>
      </c>
    </row>
    <row r="138" spans="1:4" ht="14.5">
      <c r="A138" s="18" t="s">
        <v>188</v>
      </c>
      <c r="B138" s="19">
        <v>6.6000000000000003E-2</v>
      </c>
      <c r="C138" s="19">
        <v>0.108</v>
      </c>
      <c r="D138" s="19">
        <v>0.13300000000000001</v>
      </c>
    </row>
    <row r="139" spans="1:4" ht="14.5">
      <c r="A139" s="20" t="s">
        <v>189</v>
      </c>
      <c r="B139" s="21">
        <v>0.03</v>
      </c>
      <c r="C139" s="21">
        <v>6.3E-2</v>
      </c>
      <c r="D139" s="21">
        <v>7.4999999999999997E-2</v>
      </c>
    </row>
    <row r="140" spans="1:4" ht="14.5">
      <c r="A140" s="18" t="s">
        <v>190</v>
      </c>
      <c r="B140" s="19">
        <v>6.6000000000000003E-2</v>
      </c>
      <c r="C140" s="19">
        <v>0.108</v>
      </c>
      <c r="D140" s="19">
        <v>0.13300000000000001</v>
      </c>
    </row>
    <row r="141" spans="1:4" ht="14.5">
      <c r="A141" s="20" t="s">
        <v>191</v>
      </c>
      <c r="B141" s="21">
        <v>6.6000000000000003E-2</v>
      </c>
      <c r="C141" s="21">
        <v>0.108</v>
      </c>
      <c r="D141" s="21">
        <v>0.13300000000000001</v>
      </c>
    </row>
    <row r="142" spans="1:4" ht="14.5">
      <c r="A142" s="18" t="s">
        <v>192</v>
      </c>
      <c r="B142" s="19">
        <v>6.6000000000000003E-2</v>
      </c>
      <c r="C142" s="19">
        <v>0.108</v>
      </c>
      <c r="D142" s="19">
        <v>0.13300000000000001</v>
      </c>
    </row>
    <row r="143" spans="1:4" ht="14.5">
      <c r="A143" s="20" t="s">
        <v>193</v>
      </c>
      <c r="B143" s="21">
        <v>6.6000000000000003E-2</v>
      </c>
      <c r="C143" s="21">
        <v>0.108</v>
      </c>
      <c r="D143" s="21">
        <v>0.13300000000000001</v>
      </c>
    </row>
    <row r="144" spans="1:4" ht="14.5">
      <c r="A144" s="18" t="s">
        <v>194</v>
      </c>
      <c r="B144" s="19">
        <v>6.6000000000000003E-2</v>
      </c>
      <c r="C144" s="19">
        <v>0.108</v>
      </c>
      <c r="D144" s="19">
        <v>0.13300000000000001</v>
      </c>
    </row>
    <row r="145" spans="1:4" ht="14.5">
      <c r="A145" s="24" t="s">
        <v>258</v>
      </c>
      <c r="B145" s="17" t="s">
        <v>47</v>
      </c>
      <c r="C145" s="17" t="s">
        <v>48</v>
      </c>
      <c r="D145" s="17" t="s">
        <v>49</v>
      </c>
    </row>
    <row r="146" spans="1:4" ht="14.5">
      <c r="A146" s="18" t="s">
        <v>195</v>
      </c>
      <c r="B146" s="19">
        <v>1.5</v>
      </c>
      <c r="C146" s="19">
        <v>1.8</v>
      </c>
      <c r="D146" s="19">
        <v>2.7</v>
      </c>
    </row>
    <row r="147" spans="1:4" ht="14.5">
      <c r="A147" s="20" t="s">
        <v>196</v>
      </c>
      <c r="B147" s="21">
        <v>1.45</v>
      </c>
      <c r="C147" s="21">
        <v>2.41</v>
      </c>
      <c r="D147" s="21">
        <v>3</v>
      </c>
    </row>
    <row r="148" spans="1:4" ht="14.5">
      <c r="A148" s="18" t="s">
        <v>197</v>
      </c>
      <c r="B148" s="19">
        <v>0.73</v>
      </c>
      <c r="C148" s="19">
        <v>1.1599999999999999</v>
      </c>
      <c r="D148" s="19">
        <v>1.5</v>
      </c>
    </row>
    <row r="149" spans="1:4" ht="14.5">
      <c r="A149" s="20" t="s">
        <v>198</v>
      </c>
      <c r="B149" s="21">
        <v>1.08</v>
      </c>
      <c r="C149" s="21">
        <v>1.8</v>
      </c>
      <c r="D149" s="21">
        <v>2.25</v>
      </c>
    </row>
    <row r="150" spans="1:4" ht="14.5">
      <c r="A150" s="18" t="s">
        <v>199</v>
      </c>
      <c r="B150" s="19">
        <v>0.71</v>
      </c>
      <c r="C150" s="19">
        <v>1.1299999999999999</v>
      </c>
      <c r="D150" s="19">
        <v>1.41</v>
      </c>
    </row>
    <row r="151" spans="1:4" ht="14.5">
      <c r="A151" s="20" t="s">
        <v>200</v>
      </c>
      <c r="B151" s="21">
        <v>0.53</v>
      </c>
      <c r="C151" s="21">
        <v>0.85</v>
      </c>
      <c r="D151" s="21">
        <v>1.1000000000000001</v>
      </c>
    </row>
    <row r="152" spans="1:4" ht="14.5">
      <c r="A152" s="18" t="s">
        <v>201</v>
      </c>
      <c r="B152" s="19">
        <v>1.3</v>
      </c>
      <c r="C152" s="19">
        <v>2.1160000000000001</v>
      </c>
      <c r="D152" s="19">
        <v>2.7</v>
      </c>
    </row>
    <row r="153" spans="1:4" ht="14.5">
      <c r="A153" s="20" t="s">
        <v>202</v>
      </c>
      <c r="B153" s="21">
        <v>1.45</v>
      </c>
      <c r="C153" s="21">
        <v>2.38</v>
      </c>
      <c r="D153" s="21">
        <v>3</v>
      </c>
    </row>
    <row r="154" spans="1:4" ht="14.5">
      <c r="A154" s="18" t="s">
        <v>203</v>
      </c>
      <c r="B154" s="19">
        <v>1.53</v>
      </c>
      <c r="C154" s="19">
        <v>2.33</v>
      </c>
      <c r="D154" s="19">
        <v>3.08</v>
      </c>
    </row>
    <row r="155" spans="1:4" ht="14.5">
      <c r="A155" s="20" t="s">
        <v>204</v>
      </c>
      <c r="B155" s="21">
        <v>1.25</v>
      </c>
      <c r="C155" s="21">
        <v>2</v>
      </c>
      <c r="D155" s="21">
        <v>2.58</v>
      </c>
    </row>
    <row r="156" spans="1:4" ht="14.5">
      <c r="A156" s="18" t="s">
        <v>205</v>
      </c>
      <c r="B156" s="19">
        <v>0.86</v>
      </c>
      <c r="C156" s="19">
        <v>1.2</v>
      </c>
      <c r="D156" s="19">
        <v>1.6</v>
      </c>
    </row>
    <row r="157" spans="1:4" ht="14.5">
      <c r="A157" s="20" t="s">
        <v>206</v>
      </c>
      <c r="B157" s="21">
        <v>1.1299999999999999</v>
      </c>
      <c r="C157" s="21">
        <v>1.83</v>
      </c>
      <c r="D157" s="21">
        <v>2.36</v>
      </c>
    </row>
    <row r="158" spans="1:4" ht="14.5">
      <c r="A158" s="18" t="s">
        <v>207</v>
      </c>
      <c r="B158" s="19">
        <v>0.73</v>
      </c>
      <c r="C158" s="19">
        <v>1.1599999999999999</v>
      </c>
      <c r="D158" s="19">
        <v>1.5</v>
      </c>
    </row>
    <row r="159" spans="1:4" ht="14.5">
      <c r="A159" s="20" t="s">
        <v>208</v>
      </c>
      <c r="B159" s="21">
        <v>0.53</v>
      </c>
      <c r="C159" s="21">
        <v>0.91</v>
      </c>
      <c r="D159" s="21">
        <v>1.1599999999999999</v>
      </c>
    </row>
    <row r="160" spans="1:4" ht="14.5">
      <c r="A160" s="18" t="s">
        <v>209</v>
      </c>
      <c r="B160" s="19">
        <v>1.08</v>
      </c>
      <c r="C160" s="19">
        <v>1.4</v>
      </c>
      <c r="D160" s="19">
        <v>1.9</v>
      </c>
    </row>
    <row r="161" spans="1:4" ht="14.5">
      <c r="A161" s="20" t="s">
        <v>210</v>
      </c>
      <c r="B161" s="21">
        <v>1.08</v>
      </c>
      <c r="C161" s="21">
        <v>1.4</v>
      </c>
      <c r="D161" s="21">
        <v>1.9</v>
      </c>
    </row>
    <row r="162" spans="1:4" ht="14.5">
      <c r="A162" s="18" t="s">
        <v>211</v>
      </c>
      <c r="B162" s="19">
        <v>1.08</v>
      </c>
      <c r="C162" s="19">
        <v>1.71</v>
      </c>
      <c r="D162" s="19">
        <v>2.13</v>
      </c>
    </row>
    <row r="163" spans="1:4" ht="14.5">
      <c r="A163" s="20" t="s">
        <v>212</v>
      </c>
      <c r="B163" s="21">
        <v>1</v>
      </c>
      <c r="C163" s="21">
        <v>1.58</v>
      </c>
      <c r="D163" s="21">
        <v>1.966</v>
      </c>
    </row>
    <row r="164" spans="1:4" ht="14.5">
      <c r="A164" s="18" t="s">
        <v>213</v>
      </c>
      <c r="B164" s="19">
        <v>0.86</v>
      </c>
      <c r="C164" s="19">
        <v>1.2</v>
      </c>
      <c r="D164" s="19">
        <v>1.6</v>
      </c>
    </row>
    <row r="165" spans="1:4" ht="14.5">
      <c r="A165" s="20" t="s">
        <v>214</v>
      </c>
      <c r="B165" s="21">
        <v>1.21</v>
      </c>
      <c r="C165" s="21">
        <v>2</v>
      </c>
      <c r="D165" s="21">
        <v>2.5</v>
      </c>
    </row>
    <row r="166" spans="1:4" ht="14.5">
      <c r="A166" s="18" t="s">
        <v>215</v>
      </c>
      <c r="B166" s="19">
        <v>1.45</v>
      </c>
      <c r="C166" s="19">
        <v>2.4500000000000002</v>
      </c>
      <c r="D166" s="19">
        <v>3.08</v>
      </c>
    </row>
    <row r="167" spans="1:4" ht="14.5">
      <c r="A167" s="20" t="s">
        <v>216</v>
      </c>
      <c r="B167" s="21">
        <v>1.53</v>
      </c>
      <c r="C167" s="21">
        <v>2.33</v>
      </c>
      <c r="D167" s="21">
        <v>3.08</v>
      </c>
    </row>
    <row r="168" spans="1:4" ht="14.5">
      <c r="A168" s="18" t="s">
        <v>217</v>
      </c>
      <c r="B168" s="19">
        <v>1.25</v>
      </c>
      <c r="C168" s="19">
        <v>2</v>
      </c>
      <c r="D168" s="19">
        <v>2.58</v>
      </c>
    </row>
    <row r="169" spans="1:4" ht="14.5">
      <c r="A169" s="20" t="s">
        <v>218</v>
      </c>
      <c r="B169" s="21">
        <v>1.33</v>
      </c>
      <c r="C169" s="21">
        <v>1.66</v>
      </c>
      <c r="D169" s="21">
        <v>2.08</v>
      </c>
    </row>
    <row r="170" spans="1:4" ht="14.5">
      <c r="A170" s="18" t="s">
        <v>219</v>
      </c>
      <c r="B170" s="19">
        <v>1.3660000000000001</v>
      </c>
      <c r="C170" s="19">
        <v>2.33</v>
      </c>
      <c r="D170" s="19">
        <v>2.91</v>
      </c>
    </row>
    <row r="171" spans="1:4" ht="14.5">
      <c r="A171" s="20" t="s">
        <v>220</v>
      </c>
      <c r="B171" s="21">
        <v>1.083</v>
      </c>
      <c r="C171" s="21">
        <v>1.5329999999999999</v>
      </c>
      <c r="D171" s="21">
        <v>1.83</v>
      </c>
    </row>
    <row r="172" spans="1:4" ht="14.5">
      <c r="A172" s="18" t="s">
        <v>221</v>
      </c>
      <c r="B172" s="19">
        <v>1.266</v>
      </c>
      <c r="C172" s="19">
        <v>2</v>
      </c>
      <c r="D172" s="19">
        <v>2.5</v>
      </c>
    </row>
    <row r="173" spans="1:4" ht="14.5">
      <c r="A173" s="20" t="s">
        <v>222</v>
      </c>
      <c r="B173" s="21">
        <v>2</v>
      </c>
      <c r="C173" s="21">
        <v>2.4</v>
      </c>
      <c r="D173" s="21">
        <v>3.4</v>
      </c>
    </row>
    <row r="174" spans="1:4" ht="14.5">
      <c r="A174" s="18" t="s">
        <v>223</v>
      </c>
      <c r="B174" s="19">
        <v>2</v>
      </c>
      <c r="C174" s="19">
        <v>2.4</v>
      </c>
      <c r="D174" s="19">
        <v>3.6</v>
      </c>
    </row>
    <row r="175" spans="1:4" ht="14.5">
      <c r="A175" s="20" t="s">
        <v>224</v>
      </c>
      <c r="B175" s="21">
        <v>1.53</v>
      </c>
      <c r="C175" s="21">
        <v>2.5299999999999998</v>
      </c>
      <c r="D175" s="21">
        <v>3.08</v>
      </c>
    </row>
    <row r="176" spans="1:4" ht="14.5">
      <c r="A176" s="18" t="s">
        <v>225</v>
      </c>
      <c r="B176" s="19">
        <v>0.5</v>
      </c>
      <c r="C176" s="19">
        <v>0.78</v>
      </c>
      <c r="D176" s="19">
        <v>1</v>
      </c>
    </row>
    <row r="177" spans="1:4" ht="14.5">
      <c r="A177" s="20" t="s">
        <v>226</v>
      </c>
      <c r="B177" s="21">
        <v>1.08</v>
      </c>
      <c r="C177" s="21">
        <v>1.75</v>
      </c>
      <c r="D177" s="21">
        <v>2.16</v>
      </c>
    </row>
    <row r="178" spans="1:4" ht="14.5">
      <c r="A178" s="18" t="s">
        <v>227</v>
      </c>
      <c r="B178" s="19">
        <v>0.5</v>
      </c>
      <c r="C178" s="19">
        <v>0.75</v>
      </c>
      <c r="D178" s="19">
        <v>1</v>
      </c>
    </row>
    <row r="179" spans="1:4" ht="14.5">
      <c r="A179" s="20" t="s">
        <v>228</v>
      </c>
      <c r="B179" s="21">
        <v>0.78</v>
      </c>
      <c r="C179" s="21">
        <v>1.25</v>
      </c>
      <c r="D179" s="21">
        <v>1.58</v>
      </c>
    </row>
    <row r="180" spans="1:4" ht="14.5">
      <c r="A180" s="18" t="s">
        <v>229</v>
      </c>
      <c r="B180" s="19">
        <v>0.75</v>
      </c>
      <c r="C180" s="19">
        <v>1.2</v>
      </c>
      <c r="D180" s="19">
        <v>1.5</v>
      </c>
    </row>
    <row r="181" spans="1:4" ht="14.5">
      <c r="A181" s="20" t="s">
        <v>230</v>
      </c>
      <c r="B181" s="21">
        <v>1.58</v>
      </c>
      <c r="C181" s="21">
        <v>2.66</v>
      </c>
      <c r="D181" s="21">
        <v>3.33</v>
      </c>
    </row>
    <row r="182" spans="1:4" ht="14.5">
      <c r="A182" s="18" t="s">
        <v>231</v>
      </c>
      <c r="B182" s="19">
        <v>0.78300000000000003</v>
      </c>
      <c r="C182" s="19">
        <v>1.333</v>
      </c>
      <c r="D182" s="19">
        <v>1.75</v>
      </c>
    </row>
    <row r="183" spans="1:4" ht="14.5">
      <c r="A183" s="20" t="s">
        <v>232</v>
      </c>
      <c r="B183" s="21">
        <v>0.61599999999999999</v>
      </c>
      <c r="C183" s="21">
        <v>0.96599999999999997</v>
      </c>
      <c r="D183" s="21">
        <v>1.21</v>
      </c>
    </row>
    <row r="184" spans="1:4" ht="14.5">
      <c r="A184" s="18" t="s">
        <v>233</v>
      </c>
      <c r="B184" s="19">
        <v>1.08</v>
      </c>
      <c r="C184" s="19">
        <v>1.75</v>
      </c>
      <c r="D184" s="19">
        <v>2.25</v>
      </c>
    </row>
    <row r="185" spans="1:4" ht="14.5">
      <c r="A185" s="20" t="s">
        <v>234</v>
      </c>
      <c r="B185" s="21">
        <v>0.78300000000000003</v>
      </c>
      <c r="C185" s="21">
        <v>1.28</v>
      </c>
      <c r="D185" s="21">
        <v>1.66</v>
      </c>
    </row>
    <row r="186" spans="1:4" ht="14.5">
      <c r="A186" s="18" t="s">
        <v>235</v>
      </c>
      <c r="B186" s="19">
        <v>1.36</v>
      </c>
      <c r="C186" s="19">
        <v>2.25</v>
      </c>
      <c r="D186" s="19">
        <v>2.83</v>
      </c>
    </row>
    <row r="187" spans="1:4" ht="14.5">
      <c r="A187" s="20" t="s">
        <v>236</v>
      </c>
      <c r="B187" s="21">
        <v>0.75</v>
      </c>
      <c r="C187" s="21">
        <v>1.2330000000000001</v>
      </c>
      <c r="D187" s="21">
        <v>1.4330000000000001</v>
      </c>
    </row>
    <row r="188" spans="1:4" ht="14.5">
      <c r="A188" s="18" t="s">
        <v>237</v>
      </c>
      <c r="B188" s="19">
        <v>0.5</v>
      </c>
      <c r="C188" s="19">
        <v>0.8</v>
      </c>
      <c r="D188" s="19">
        <v>1.25</v>
      </c>
    </row>
    <row r="189" spans="1:4" ht="14.5">
      <c r="A189" s="20" t="s">
        <v>238</v>
      </c>
      <c r="B189" s="21">
        <v>1.55</v>
      </c>
      <c r="C189" s="21">
        <v>2.5499999999999998</v>
      </c>
      <c r="D189" s="21">
        <v>3.2160000000000002</v>
      </c>
    </row>
    <row r="190" spans="1:4" ht="14.5">
      <c r="A190" s="18" t="s">
        <v>239</v>
      </c>
      <c r="B190" s="19">
        <v>1.36</v>
      </c>
      <c r="C190" s="19">
        <v>2.2799999999999998</v>
      </c>
      <c r="D190" s="19">
        <v>2.88</v>
      </c>
    </row>
    <row r="191" spans="1:4" ht="14.5">
      <c r="A191" s="20" t="s">
        <v>240</v>
      </c>
      <c r="B191" s="21">
        <v>1</v>
      </c>
      <c r="C191" s="21">
        <v>1.58</v>
      </c>
      <c r="D191" s="21">
        <v>2</v>
      </c>
    </row>
    <row r="192" spans="1:4" ht="14.5">
      <c r="A192" s="18" t="s">
        <v>241</v>
      </c>
      <c r="B192" s="19">
        <v>1.53</v>
      </c>
      <c r="C192" s="19">
        <v>2.5499999999999998</v>
      </c>
      <c r="D192" s="19">
        <v>3.16</v>
      </c>
    </row>
    <row r="193" spans="1:4" ht="14.5">
      <c r="A193" s="20" t="s">
        <v>242</v>
      </c>
      <c r="B193" s="21">
        <v>2.16</v>
      </c>
      <c r="C193" s="21">
        <v>3.5</v>
      </c>
      <c r="D193" s="21">
        <v>5</v>
      </c>
    </row>
    <row r="194" spans="1:4" ht="14.5">
      <c r="A194" s="18" t="s">
        <v>243</v>
      </c>
      <c r="B194" s="19">
        <v>1.25</v>
      </c>
      <c r="C194" s="19">
        <v>2</v>
      </c>
      <c r="D194" s="19">
        <v>2.58</v>
      </c>
    </row>
    <row r="195" spans="1:4" ht="14.5">
      <c r="A195" s="20" t="s">
        <v>244</v>
      </c>
      <c r="B195" s="21">
        <v>0.5</v>
      </c>
      <c r="C195" s="21">
        <v>0.75</v>
      </c>
      <c r="D195" s="21">
        <v>0.96599999999999997</v>
      </c>
    </row>
    <row r="196" spans="1:4" ht="14.5">
      <c r="A196" s="18" t="s">
        <v>245</v>
      </c>
      <c r="B196" s="19">
        <v>0.5</v>
      </c>
      <c r="C196" s="19">
        <v>0.75</v>
      </c>
      <c r="D196" s="19">
        <v>0.95</v>
      </c>
    </row>
    <row r="197" spans="1:4" ht="14.5">
      <c r="A197" s="20" t="s">
        <v>246</v>
      </c>
      <c r="B197" s="21">
        <v>1.3</v>
      </c>
      <c r="C197" s="21">
        <v>2.0830000000000002</v>
      </c>
      <c r="D197" s="21">
        <v>2.6659999999999999</v>
      </c>
    </row>
    <row r="198" spans="1:4" ht="14.5">
      <c r="A198" s="18" t="s">
        <v>247</v>
      </c>
      <c r="B198" s="19">
        <v>0.75</v>
      </c>
      <c r="C198" s="19">
        <v>1.2</v>
      </c>
      <c r="D198" s="19">
        <v>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2"/>
  <sheetViews>
    <sheetView zoomScale="91" workbookViewId="0">
      <selection activeCell="I3" sqref="I3"/>
    </sheetView>
  </sheetViews>
  <sheetFormatPr defaultRowHeight="14"/>
  <cols>
    <col min="1" max="1" width="12.08203125" bestFit="1" customWidth="1"/>
    <col min="2" max="2" width="13.58203125" bestFit="1" customWidth="1"/>
    <col min="3" max="3" width="13.9140625" bestFit="1" customWidth="1"/>
    <col min="4" max="4" width="17.75" customWidth="1"/>
    <col min="5" max="5" width="13.6640625" bestFit="1" customWidth="1"/>
    <col min="6" max="6" width="15" bestFit="1" customWidth="1"/>
    <col min="7" max="7" width="34.25" customWidth="1"/>
    <col min="10" max="10" width="18.33203125" bestFit="1" customWidth="1"/>
    <col min="11" max="12" width="18.33203125" customWidth="1"/>
    <col min="13" max="13" width="19.6640625" bestFit="1" customWidth="1"/>
    <col min="14" max="14" width="15.25" bestFit="1" customWidth="1"/>
    <col min="15" max="17" width="19.6640625" customWidth="1"/>
    <col min="19" max="19" width="9.25" bestFit="1" customWidth="1"/>
  </cols>
  <sheetData>
    <row r="1" spans="1:20">
      <c r="A1" s="3" t="s">
        <v>339</v>
      </c>
      <c r="B1" s="29" t="s">
        <v>0</v>
      </c>
      <c r="C1" s="30" t="s">
        <v>29</v>
      </c>
      <c r="D1" s="30" t="s">
        <v>371</v>
      </c>
      <c r="E1" s="30" t="s">
        <v>369</v>
      </c>
      <c r="F1" s="30" t="s">
        <v>365</v>
      </c>
      <c r="G1" s="30" t="s">
        <v>257</v>
      </c>
      <c r="H1" s="31" t="s">
        <v>259</v>
      </c>
      <c r="I1" s="31" t="s">
        <v>263</v>
      </c>
      <c r="J1" s="32" t="s">
        <v>248</v>
      </c>
      <c r="K1" s="28" t="s">
        <v>343</v>
      </c>
      <c r="L1" s="28" t="s">
        <v>338</v>
      </c>
      <c r="M1" s="28" t="s">
        <v>306</v>
      </c>
      <c r="N1" s="28" t="s">
        <v>274</v>
      </c>
      <c r="O1" s="28" t="s">
        <v>307</v>
      </c>
      <c r="P1" s="28" t="s">
        <v>308</v>
      </c>
      <c r="Q1" s="28" t="s">
        <v>359</v>
      </c>
      <c r="R1" s="28" t="s">
        <v>31</v>
      </c>
      <c r="S1" s="25" t="s">
        <v>264</v>
      </c>
      <c r="T1" s="36" t="s">
        <v>310</v>
      </c>
    </row>
    <row r="2" spans="1:20">
      <c r="A2" s="1">
        <v>1</v>
      </c>
      <c r="B2" s="33" t="s">
        <v>4</v>
      </c>
      <c r="C2" s="34">
        <v>20</v>
      </c>
      <c r="D2" s="34">
        <v>2</v>
      </c>
      <c r="E2" s="34">
        <v>6</v>
      </c>
      <c r="F2" s="34">
        <v>20</v>
      </c>
      <c r="G2" s="34" t="s">
        <v>205</v>
      </c>
      <c r="H2" s="34">
        <f>IFERROR(IF(B2="Column",INDEX(RadCompList!$C$4:$G$13,MATCH(C2,RadCompList!$B$4:$B$13),MATCH(Radiators!D2,RadCompList!$C$3:$G$3)),IF(B2="Tube",INDEX(RadCompList!$C$16:$I$22,MATCH(C2,RadCompList!$B$16:$B$22),MATCH(Radiators!D2,RadCompList!$C$15:$I$15)),IF(B2="Cast Rad/Conv",INDEX(RadCompList!$C$28:$D$28,MATCH(C2,RadCompList!$B$28),MATCH(Radiators!D2,RadCompList!$C$27:$D$27)),IF(B2="Copper Cabinet",(INDEX(RadCompList!$E$39:$J$78,MATCH(Radiators!D2,RadCompList!$D$39:$D$78,0),MATCH(C2,RadCompList!$E$38:$J$38,0))),0))))*E2,0)*$A$2</f>
        <v>12</v>
      </c>
      <c r="I2" s="34">
        <f>IFERROR(240*H2,0)*$A$2</f>
        <v>2880</v>
      </c>
      <c r="J2" s="35">
        <f>IFERROR(VLOOKUP(G2,VentList!$A$1:$D$198,2,FALSE),0)</f>
        <v>0.86</v>
      </c>
      <c r="K2" s="26">
        <f>IFERROR(VLOOKUP(B2,RadCompList!$P$3:$Q$6,2,FALSE)*H2,0)</f>
        <v>0.30000000000000004</v>
      </c>
      <c r="L2" s="26" t="str">
        <f t="shared" ref="L2:L4" si="0">IF(H2&lt;32, "3/4",IF(H2&lt;56, "1", IF(H2&lt;124," 1 1/2",IF(H2&gt;124,"2"))))</f>
        <v>3/4</v>
      </c>
      <c r="M2" s="37">
        <f>Main!$G$8-0.0001306*N2^2 * F2*(1+3.6/VLOOKUP(L2,Calculations!$B$4:$F$15,2,FALSE))/(3600*Main!$C$7*VLOOKUP(L2,Calculations!$B$4:$F$15,2,FALSE)^5)</f>
        <v>0.14593030023065764</v>
      </c>
      <c r="N2" s="37">
        <f>I2/(970+27)</f>
        <v>2.8886659979939822</v>
      </c>
      <c r="O2" s="37">
        <f>IF(H2&lt;32,SteamProperties!$F$24*Radiators!F2,IF(H2&lt;56,SteamProperties!$F$25*Radiators!F2,SteamProperties!$F$26*Radiators!F2))</f>
        <v>2000</v>
      </c>
      <c r="P2" s="37">
        <f>IF(H2&lt;32,Calculations!$F$5*Radiators!F2,IF(H2&lt;56,Calculations!$F$6*Radiators!F2,Calculations!$F$7*Radiators!F2))</f>
        <v>6.1342592592592594E-2</v>
      </c>
      <c r="Q2" s="37">
        <f>I2/(970)</f>
        <v>2.9690721649484537</v>
      </c>
      <c r="R2" s="26">
        <f>SUM(I2:I500)+SUM(O:O)</f>
        <v>49576</v>
      </c>
      <c r="S2" s="27">
        <f>SUM(H2:H500)+SUM(O:O)/240</f>
        <v>206.56666666666666</v>
      </c>
      <c r="T2">
        <f>MIN(M:M)</f>
        <v>0.14188751998467344</v>
      </c>
    </row>
    <row r="3" spans="1:20">
      <c r="B3" s="33" t="s">
        <v>5</v>
      </c>
      <c r="C3" s="34">
        <v>23</v>
      </c>
      <c r="D3" s="34">
        <v>4</v>
      </c>
      <c r="E3" s="34">
        <v>8</v>
      </c>
      <c r="F3" s="34">
        <v>20</v>
      </c>
      <c r="G3" s="34" t="s">
        <v>195</v>
      </c>
      <c r="H3" s="34">
        <f>IFERROR(IF(B3="Column",INDEX(RadCompList!$C$4:$G$13,MATCH(C3,RadCompList!$B$4:$B$13),MATCH(Radiators!D3,RadCompList!$C$3:$G$3)),IF(B3="Tube",INDEX(RadCompList!$C$16:$I$22,MATCH(C3,RadCompList!$B$16:$B$22),MATCH(Radiators!D3,RadCompList!$C$15:$I$15)),IF(B3="Cast Rad/Conv",INDEX(RadCompList!$C$28:$D$28,MATCH(C3,RadCompList!$B$28),MATCH(Radiators!D3,RadCompList!$C$27:$D$27)),IF(B3="Copper Cabinet",(INDEX(RadCompList!$E$39:$J$78,MATCH(Radiators!D3,RadCompList!$D$39:$D$78,0),MATCH(C3,RadCompList!$E$38:$J$38,0))),0))))*E3,0)*$A$2</f>
        <v>20</v>
      </c>
      <c r="I3" s="34">
        <f t="shared" ref="I3:I66" si="1">IFERROR(240*H3,0)*$A$2</f>
        <v>4800</v>
      </c>
      <c r="J3" s="35">
        <f>IFERROR(VLOOKUP(G3,VentList!$A$1:$D$198,2,FALSE),0)</f>
        <v>1.5</v>
      </c>
      <c r="K3" s="26">
        <f>IFERROR(VLOOKUP(B3,RadCompList!$P$3:$Q$6,2,FALSE)*H3,0)</f>
        <v>0.26</v>
      </c>
      <c r="L3" s="26" t="str">
        <f t="shared" si="0"/>
        <v>3/4</v>
      </c>
      <c r="M3" s="37">
        <f>Main!$G$8-0.0001306*N3^2 * F3*(1+3.6/VLOOKUP(L3,Calculations!$B$4:$F$15,2,FALSE))/(3600*Main!$C$7*VLOOKUP(L3,Calculations!$B$4:$F$15,2,FALSE)^5)</f>
        <v>0.14188751998467344</v>
      </c>
      <c r="N3" s="37">
        <f t="shared" ref="N3:N66" si="2">I3/(970+27)</f>
        <v>4.8144433299899703</v>
      </c>
      <c r="O3" s="37">
        <f>IF(H3&lt;32,SteamProperties!$F$24*Radiators!F3,IF(H3&lt;56,SteamProperties!$F$25*Radiators!F3,SteamProperties!$F$26*Radiators!F3))</f>
        <v>2000</v>
      </c>
      <c r="P3" s="37">
        <f>IF(H3&lt;32,Calculations!$F$5*Radiators!F3,IF(H3&lt;56,Calculations!$F$6*Radiators!F3,Calculations!$F$7*Radiators!F3))</f>
        <v>6.1342592592592594E-2</v>
      </c>
      <c r="Q3" s="37">
        <f t="shared" ref="Q3:Q66" si="3">I3/(970)</f>
        <v>4.9484536082474229</v>
      </c>
    </row>
    <row r="4" spans="1:20">
      <c r="B4" s="33" t="s">
        <v>6</v>
      </c>
      <c r="C4" s="34">
        <v>20</v>
      </c>
      <c r="D4" s="34">
        <v>5</v>
      </c>
      <c r="E4" s="34">
        <v>2</v>
      </c>
      <c r="F4" s="34">
        <v>20</v>
      </c>
      <c r="G4" s="34" t="s">
        <v>244</v>
      </c>
      <c r="H4" s="34">
        <f>IFERROR(IF(B4="Column",INDEX(RadCompList!$C$4:$G$13,MATCH(C4,RadCompList!$B$4:$B$13),MATCH(Radiators!D4,RadCompList!$C$3:$G$3)),IF(B4="Tube",INDEX(RadCompList!$C$16:$I$22,MATCH(C4,RadCompList!$B$16:$B$22),MATCH(Radiators!D4,RadCompList!$C$15:$I$15)),IF(B4="Cast Rad/Conv",INDEX(RadCompList!$C$28:$D$28,MATCH(C4,RadCompList!$B$28),MATCH(Radiators!D4,RadCompList!$C$27:$D$27)),IF(B4="Copper Cabinet",(INDEX(RadCompList!$E$39:$J$78,MATCH(Radiators!D4,RadCompList!$D$39:$D$78,0),MATCH(C4,RadCompList!$E$38:$J$38,0))),0))))*E4,0)*$A$2</f>
        <v>4.5</v>
      </c>
      <c r="I4" s="34">
        <f t="shared" si="1"/>
        <v>1080</v>
      </c>
      <c r="J4" s="35">
        <f>IFERROR(VLOOKUP(G4,VentList!$A$1:$D$198,2,FALSE),0)</f>
        <v>0.5</v>
      </c>
      <c r="K4" s="26">
        <f>IFERROR(VLOOKUP(B4,RadCompList!$P$3:$Q$6,2,FALSE)*H4,0)</f>
        <v>1.3499999999999999E-3</v>
      </c>
      <c r="L4" s="26" t="str">
        <f t="shared" si="0"/>
        <v>3/4</v>
      </c>
      <c r="M4" s="37">
        <f>Main!$G$8-0.0001306*N4^2 * F4*(1+3.6/VLOOKUP(L4,Calculations!$B$4:$F$15,2,FALSE))/(3600*Main!$C$7*VLOOKUP(L4,Calculations!$B$4:$F$15,2,FALSE)^5)</f>
        <v>0.14788457388472229</v>
      </c>
      <c r="N4" s="37">
        <f t="shared" si="2"/>
        <v>1.0832497492477433</v>
      </c>
      <c r="O4" s="37">
        <f>IF(H4&lt;32,SteamProperties!$F$24*Radiators!F4,IF(H4&lt;56,SteamProperties!$F$25*Radiators!F4,SteamProperties!$F$26*Radiators!F4))</f>
        <v>2000</v>
      </c>
      <c r="P4" s="37">
        <f>IF(H4&lt;32,Calculations!$F$5*Radiators!F4,IF(H4&lt;56,Calculations!$F$6*Radiators!F4,Calculations!$F$7*Radiators!F4))</f>
        <v>6.1342592592592594E-2</v>
      </c>
      <c r="Q4" s="37">
        <f t="shared" si="3"/>
        <v>1.1134020618556701</v>
      </c>
    </row>
    <row r="5" spans="1:20">
      <c r="B5" s="33" t="s">
        <v>23</v>
      </c>
      <c r="C5" s="34">
        <v>26</v>
      </c>
      <c r="D5" s="34" t="s">
        <v>378</v>
      </c>
      <c r="E5" s="34">
        <v>2</v>
      </c>
      <c r="F5" s="34">
        <v>20</v>
      </c>
      <c r="G5" s="34" t="s">
        <v>245</v>
      </c>
      <c r="H5" s="34">
        <f>IFERROR(IF(B5="Column",INDEX(RadCompList!$C$4:$G$13,MATCH(C5,RadCompList!$B$4:$B$13),MATCH(Radiators!D5,RadCompList!$C$3:$G$3)),IF(B5="Tube",INDEX(RadCompList!$C$16:$I$22,MATCH(C5,RadCompList!$B$16:$B$22),MATCH(Radiators!D5,RadCompList!$C$15:$I$15)),IF(B5="Cast Rad/Conv",INDEX(RadCompList!$C$28:$D$28,MATCH(C5,RadCompList!$B$28),MATCH(Radiators!D5,RadCompList!$C$27:$D$27)),IF(B5="Copper Cabinet",(INDEX(RadCompList!$E$39:$J$78,MATCH(Radiators!D5,RadCompList!$D$39:$D$78,0),MATCH(C5,RadCompList!$E$38:$J$38,0))),0))))*E5,0)*$A$2</f>
        <v>132.4</v>
      </c>
      <c r="I5" s="34">
        <f t="shared" si="1"/>
        <v>31776</v>
      </c>
      <c r="J5" s="35">
        <f>IFERROR(VLOOKUP(G5,VentList!$A$1:$D$198,2,FALSE),0)</f>
        <v>0.5</v>
      </c>
      <c r="K5" s="26">
        <f>IFERROR(VLOOKUP(B5,RadCompList!$P$3:$Q$6,2,FALSE)*H5,0)</f>
        <v>3.9719999999999998E-2</v>
      </c>
      <c r="L5" s="26" t="str">
        <f>IF(H5&lt;32, "3/4",IF(H5&lt;56, "1", IF(H5&lt;124," 1 1/2",IF(H5&gt;124,"2"))))</f>
        <v>2</v>
      </c>
      <c r="M5" s="37">
        <f>Main!$G$8-0.0001306*N5^2 * F5*(1+3.6/VLOOKUP(L5,Calculations!$B$4:$F$15,2,FALSE))/(3600*Main!$C$7*VLOOKUP(L5,Calculations!$B$4:$F$15,2,FALSE)^5)</f>
        <v>0.14678113557720807</v>
      </c>
      <c r="N5" s="37">
        <f t="shared" si="2"/>
        <v>31.8716148445336</v>
      </c>
      <c r="O5" s="37">
        <f>IF(H5&lt;32,SteamProperties!$F$24*Radiators!F5,IF(H5&lt;56,SteamProperties!$F$25*Radiators!F5,SteamProperties!$F$26*Radiators!F5))</f>
        <v>3040</v>
      </c>
      <c r="P5" s="37">
        <f>IF(H5&lt;32,Calculations!$F$5*Radiators!F5,IF(H5&lt;56,Calculations!$F$6*Radiators!F5,Calculations!$F$7*Radiators!F5))</f>
        <v>0.17013888888888887</v>
      </c>
      <c r="Q5" s="37">
        <f t="shared" si="3"/>
        <v>32.758762886597935</v>
      </c>
    </row>
    <row r="6" spans="1:20">
      <c r="B6" s="33"/>
      <c r="C6" s="34"/>
      <c r="D6" s="34"/>
      <c r="E6" s="34"/>
      <c r="F6" s="34"/>
      <c r="G6" s="34"/>
      <c r="H6" s="34">
        <f>IFERROR(IF(B6="Column",INDEX(RadCompList!$C$4:$G$13,MATCH(C6,RadCompList!$B$4:$B$13),MATCH(Radiators!D6,RadCompList!$C$3:$G$3)),IF(B6="Tube",INDEX(RadCompList!$C$16:$I$22,MATCH(C6,RadCompList!$B$16:$B$22),MATCH(Radiators!D6,RadCompList!$C$15:$I$15)),IF(B6="Cast Rad/Conv",INDEX(RadCompList!$C$28:$D$28,MATCH(C6,RadCompList!$B$28),MATCH(Radiators!D6,RadCompList!$C$27:$D$27)),IF(B6="Copper Cabinet",(INDEX(RadCompList!$E$39:$J$78,MATCH(Radiators!D6,RadCompList!$D$39:$D$78,0),MATCH(C6,RadCompList!$E$38:$J$38,0))),0))))*E6,0)*$A$2</f>
        <v>0</v>
      </c>
      <c r="I6" s="34">
        <f t="shared" si="1"/>
        <v>0</v>
      </c>
      <c r="J6" s="35">
        <f>IFERROR(VLOOKUP(G6,VentList!$A$1:$D$198,2,FALSE),0)</f>
        <v>0</v>
      </c>
      <c r="K6" s="26">
        <f>IFERROR(VLOOKUP(B6,RadCompList!$P$3:$Q$6,2,FALSE)*H6,0)</f>
        <v>0</v>
      </c>
      <c r="L6" s="26" t="str">
        <f t="shared" ref="L6:L69" si="4">IF(H6&lt;32, "3/4",IF(H6&lt;56, "1", IF(H6&lt;124," 1 1/2",IF(H6&gt;124,"2"))))</f>
        <v>3/4</v>
      </c>
      <c r="M6" s="37">
        <f>Main!$G$8-0.0001306*N6^2 * F6*(1+3.6/VLOOKUP(L6,Calculations!$B$4:$F$15,2,FALSE))/(3600*Main!$C$7*VLOOKUP(L6,Calculations!$B$4:$F$15,2,FALSE)^5)</f>
        <v>0.14820436411902377</v>
      </c>
      <c r="N6" s="37">
        <f t="shared" si="2"/>
        <v>0</v>
      </c>
      <c r="O6" s="37">
        <f>IF(H6&lt;32,SteamProperties!$F$24*Radiators!F6,IF(H6&lt;56,SteamProperties!$F$25*Radiators!F6,SteamProperties!$F$26*Radiators!F6))</f>
        <v>0</v>
      </c>
      <c r="P6" s="37">
        <f>IF(H6&lt;32,Calculations!$F$5*Radiators!F6,IF(H6&lt;56,Calculations!$F$6*Radiators!F6,Calculations!$F$7*Radiators!F6))</f>
        <v>0</v>
      </c>
      <c r="Q6" s="37">
        <f t="shared" si="3"/>
        <v>0</v>
      </c>
    </row>
    <row r="7" spans="1:20">
      <c r="B7" s="33"/>
      <c r="C7" s="34"/>
      <c r="D7" s="34"/>
      <c r="E7" s="34"/>
      <c r="F7" s="34"/>
      <c r="G7" s="34"/>
      <c r="H7" s="34">
        <f>IFERROR(IF(B7="Column",INDEX(RadCompList!$C$4:$G$13,MATCH(C7,RadCompList!$B$4:$B$13),MATCH(Radiators!D7,RadCompList!$C$3:$G$3)),IF(B7="Tube",INDEX(RadCompList!$C$16:$I$22,MATCH(C7,RadCompList!$B$16:$B$22),MATCH(Radiators!D7,RadCompList!$C$15:$I$15)),IF(B7="Cast Rad/Conv",INDEX(RadCompList!$C$28:$D$28,MATCH(C7,RadCompList!$B$28),MATCH(Radiators!D7,RadCompList!$C$27:$D$27)),IF(B7="Copper Cabinet",(INDEX(RadCompList!$E$39:$J$78,MATCH(Radiators!D7,RadCompList!$D$39:$D$78,0),MATCH(C7,RadCompList!$E$38:$J$38,0))),0))))*E7,0)*$A$2</f>
        <v>0</v>
      </c>
      <c r="I7" s="34">
        <f t="shared" si="1"/>
        <v>0</v>
      </c>
      <c r="J7" s="35">
        <f>IFERROR(VLOOKUP(G7,VentList!$A$1:$D$198,2,FALSE),0)</f>
        <v>0</v>
      </c>
      <c r="K7" s="26">
        <f>IFERROR(VLOOKUP(B7,RadCompList!$P$3:$Q$6,2,FALSE)*H7,0)</f>
        <v>0</v>
      </c>
      <c r="L7" s="26" t="str">
        <f t="shared" si="4"/>
        <v>3/4</v>
      </c>
      <c r="M7" s="37">
        <f>Main!$G$8-0.0001306*N7^2 * F7*(1+3.6/VLOOKUP(L7,Calculations!$B$4:$F$15,2,FALSE))/(3600*Main!$C$7*VLOOKUP(L7,Calculations!$B$4:$F$15,2,FALSE)^5)</f>
        <v>0.14820436411902377</v>
      </c>
      <c r="N7" s="37">
        <f t="shared" si="2"/>
        <v>0</v>
      </c>
      <c r="O7" s="37">
        <f>IF(H7&lt;32,SteamProperties!$F$24*Radiators!F7,IF(H7&lt;56,SteamProperties!$F$25*Radiators!F7,SteamProperties!$F$26*Radiators!F7))</f>
        <v>0</v>
      </c>
      <c r="P7" s="37">
        <f>IF(H7&lt;32,Calculations!$F$5*Radiators!F7,IF(H7&lt;56,Calculations!$F$6*Radiators!F7,Calculations!$F$7*Radiators!F7))</f>
        <v>0</v>
      </c>
      <c r="Q7" s="37">
        <f t="shared" si="3"/>
        <v>0</v>
      </c>
    </row>
    <row r="8" spans="1:20">
      <c r="B8" s="33"/>
      <c r="C8" s="34"/>
      <c r="D8" s="34"/>
      <c r="E8" s="34"/>
      <c r="F8" s="34"/>
      <c r="G8" s="34"/>
      <c r="H8" s="34">
        <f>IFERROR(IF(B8="Column",INDEX(RadCompList!$C$4:$G$13,MATCH(C8,RadCompList!$B$4:$B$13),MATCH(Radiators!D8,RadCompList!$C$3:$G$3)),IF(B8="Tube",INDEX(RadCompList!$C$16:$I$22,MATCH(C8,RadCompList!$B$16:$B$22),MATCH(Radiators!D8,RadCompList!$C$15:$I$15)),IF(B8="Cast Rad/Conv",INDEX(RadCompList!$C$28:$D$28,MATCH(C8,RadCompList!$B$28),MATCH(Radiators!D8,RadCompList!$C$27:$D$27)),IF(B8="Copper Cabinet",(INDEX(RadCompList!$E$39:$J$78,MATCH(Radiators!D8,RadCompList!$D$39:$D$78,0),MATCH(C8,RadCompList!$E$38:$J$38,0))),0))))*E8,0)*$A$2</f>
        <v>0</v>
      </c>
      <c r="I8" s="34">
        <f t="shared" si="1"/>
        <v>0</v>
      </c>
      <c r="J8" s="35">
        <f>IFERROR(VLOOKUP(G8,VentList!$A$1:$D$198,2,FALSE),0)</f>
        <v>0</v>
      </c>
      <c r="K8" s="26">
        <f>IFERROR(VLOOKUP(B8,RadCompList!$P$3:$Q$6,2,FALSE)*H8,0)</f>
        <v>0</v>
      </c>
      <c r="L8" s="26" t="str">
        <f t="shared" si="4"/>
        <v>3/4</v>
      </c>
      <c r="M8" s="37">
        <f>Main!$G$8-0.0001306*N8^2 * F8*(1+3.6/VLOOKUP(L8,Calculations!$B$4:$F$15,2,FALSE))/(3600*Main!$C$7*VLOOKUP(L8,Calculations!$B$4:$F$15,2,FALSE)^5)</f>
        <v>0.14820436411902377</v>
      </c>
      <c r="N8" s="37">
        <f t="shared" si="2"/>
        <v>0</v>
      </c>
      <c r="O8" s="37">
        <f>IF(H8&lt;32,SteamProperties!$F$24*Radiators!F8,IF(H8&lt;56,SteamProperties!$F$25*Radiators!F8,SteamProperties!$F$26*Radiators!F8))</f>
        <v>0</v>
      </c>
      <c r="P8" s="37">
        <f>IF(H8&lt;32,Calculations!$F$5*Radiators!F8,IF(H8&lt;56,Calculations!$F$6*Radiators!F8,Calculations!$F$7*Radiators!F8))</f>
        <v>0</v>
      </c>
      <c r="Q8" s="37">
        <f t="shared" si="3"/>
        <v>0</v>
      </c>
    </row>
    <row r="9" spans="1:20">
      <c r="B9" s="33"/>
      <c r="C9" s="34"/>
      <c r="D9" s="34"/>
      <c r="E9" s="34"/>
      <c r="F9" s="34"/>
      <c r="G9" s="34"/>
      <c r="H9" s="34">
        <f>IFERROR(IF(B9="Column",INDEX(RadCompList!$C$4:$G$13,MATCH(C9,RadCompList!$B$4:$B$13),MATCH(Radiators!D9,RadCompList!$C$3:$G$3)),IF(B9="Tube",INDEX(RadCompList!$C$16:$I$22,MATCH(C9,RadCompList!$B$16:$B$22),MATCH(Radiators!D9,RadCompList!$C$15:$I$15)),IF(B9="Cast Rad/Conv",INDEX(RadCompList!$C$28:$D$28,MATCH(C9,RadCompList!$B$28),MATCH(Radiators!D9,RadCompList!$C$27:$D$27)),IF(B9="Copper Cabinet",(INDEX(RadCompList!$E$39:$J$78,MATCH(Radiators!D9,RadCompList!$D$39:$D$78,0),MATCH(C9,RadCompList!$E$38:$J$38,0))),0))))*E9,0)*$A$2</f>
        <v>0</v>
      </c>
      <c r="I9" s="34">
        <f t="shared" si="1"/>
        <v>0</v>
      </c>
      <c r="J9" s="35">
        <f>IFERROR(VLOOKUP(G9,VentList!$A$1:$D$198,2,FALSE),0)</f>
        <v>0</v>
      </c>
      <c r="K9" s="26">
        <f>IFERROR(VLOOKUP(B9,RadCompList!$P$3:$Q$6,2,FALSE)*H9,0)</f>
        <v>0</v>
      </c>
      <c r="L9" s="26" t="str">
        <f t="shared" si="4"/>
        <v>3/4</v>
      </c>
      <c r="M9" s="37">
        <f>Main!$G$8-0.0001306*N9^2 * F9*(1+3.6/VLOOKUP(L9,Calculations!$B$4:$F$15,2,FALSE))/(3600*Main!$C$7*VLOOKUP(L9,Calculations!$B$4:$F$15,2,FALSE)^5)</f>
        <v>0.14820436411902377</v>
      </c>
      <c r="N9" s="37">
        <f t="shared" si="2"/>
        <v>0</v>
      </c>
      <c r="O9" s="37">
        <f>IF(H9&lt;32,SteamProperties!$F$24*Radiators!F9,IF(H9&lt;56,SteamProperties!$F$25*Radiators!F9,SteamProperties!$F$26*Radiators!F9))</f>
        <v>0</v>
      </c>
      <c r="P9" s="37">
        <f>IF(H9&lt;32,Calculations!$F$5*Radiators!F9,IF(H9&lt;56,Calculations!$F$6*Radiators!F9,Calculations!$F$7*Radiators!F9))</f>
        <v>0</v>
      </c>
      <c r="Q9" s="37">
        <f t="shared" si="3"/>
        <v>0</v>
      </c>
    </row>
    <row r="10" spans="1:20">
      <c r="B10" s="33"/>
      <c r="C10" s="34"/>
      <c r="D10" s="34"/>
      <c r="E10" s="34"/>
      <c r="F10" s="34"/>
      <c r="G10" s="34"/>
      <c r="H10" s="34">
        <f>IFERROR(IF(B10="Column",INDEX(RadCompList!$C$4:$G$13,MATCH(C10,RadCompList!$B$4:$B$13),MATCH(Radiators!D10,RadCompList!$C$3:$G$3)),IF(B10="Tube",INDEX(RadCompList!$C$16:$I$22,MATCH(C10,RadCompList!$B$16:$B$22),MATCH(Radiators!D10,RadCompList!$C$15:$I$15)),IF(B10="Cast Rad/Conv",INDEX(RadCompList!$C$28:$D$28,MATCH(C10,RadCompList!$B$28),MATCH(Radiators!D10,RadCompList!$C$27:$D$27)),IF(B10="Copper Cabinet",(INDEX(RadCompList!$E$39:$J$78,MATCH(Radiators!D10,RadCompList!$D$39:$D$78,0),MATCH(C10,RadCompList!$E$38:$J$38,0))),0))))*E10,0)*$A$2</f>
        <v>0</v>
      </c>
      <c r="I10" s="34">
        <f t="shared" si="1"/>
        <v>0</v>
      </c>
      <c r="J10" s="35">
        <f>IFERROR(VLOOKUP(G10,VentList!$A$1:$D$198,2,FALSE),0)</f>
        <v>0</v>
      </c>
      <c r="K10" s="26">
        <f>IFERROR(VLOOKUP(B10,RadCompList!$P$3:$Q$6,2,FALSE)*H10,0)</f>
        <v>0</v>
      </c>
      <c r="L10" s="26" t="str">
        <f t="shared" si="4"/>
        <v>3/4</v>
      </c>
      <c r="M10" s="37">
        <f>Main!$G$8-0.0001306*N10^2 * F10*(1+3.6/VLOOKUP(L10,Calculations!$B$4:$F$15,2,FALSE))/(3600*Main!$C$7*VLOOKUP(L10,Calculations!$B$4:$F$15,2,FALSE)^5)</f>
        <v>0.14820436411902377</v>
      </c>
      <c r="N10" s="37">
        <f t="shared" si="2"/>
        <v>0</v>
      </c>
      <c r="O10" s="37">
        <f>IF(H10&lt;32,SteamProperties!$F$24*Radiators!F10,IF(H10&lt;56,SteamProperties!$F$25*Radiators!F10,SteamProperties!$F$26*Radiators!F10))</f>
        <v>0</v>
      </c>
      <c r="P10" s="37">
        <f>IF(H10&lt;32,Calculations!$F$5*Radiators!F10,IF(H10&lt;56,Calculations!$F$6*Radiators!F10,Calculations!$F$7*Radiators!F10))</f>
        <v>0</v>
      </c>
      <c r="Q10" s="37">
        <f t="shared" si="3"/>
        <v>0</v>
      </c>
    </row>
    <row r="11" spans="1:20">
      <c r="B11" s="33"/>
      <c r="C11" s="34"/>
      <c r="D11" s="34"/>
      <c r="E11" s="34"/>
      <c r="F11" s="34"/>
      <c r="G11" s="34"/>
      <c r="H11" s="34">
        <f>IFERROR(IF(B11="Column",INDEX(RadCompList!$C$4:$G$13,MATCH(C11,RadCompList!$B$4:$B$13),MATCH(Radiators!D11,RadCompList!$C$3:$G$3)),IF(B11="Tube",INDEX(RadCompList!$C$16:$I$22,MATCH(C11,RadCompList!$B$16:$B$22),MATCH(Radiators!D11,RadCompList!$C$15:$I$15)),IF(B11="Cast Rad/Conv",INDEX(RadCompList!$C$28:$D$28,MATCH(C11,RadCompList!$B$28),MATCH(Radiators!D11,RadCompList!$C$27:$D$27)),IF(B11="Copper Cabinet",(INDEX(RadCompList!$E$39:$J$78,MATCH(Radiators!D11,RadCompList!$D$39:$D$78,0),MATCH(C11,RadCompList!$E$38:$J$38,0))),0))))*E11,0)*$A$2</f>
        <v>0</v>
      </c>
      <c r="I11" s="34">
        <f t="shared" si="1"/>
        <v>0</v>
      </c>
      <c r="J11" s="35">
        <f>IFERROR(VLOOKUP(G11,VentList!$A$1:$D$198,2,FALSE),0)</f>
        <v>0</v>
      </c>
      <c r="K11" s="26">
        <f>IFERROR(VLOOKUP(B11,RadCompList!$P$3:$Q$6,2,FALSE)*H11,0)</f>
        <v>0</v>
      </c>
      <c r="L11" s="26" t="str">
        <f t="shared" si="4"/>
        <v>3/4</v>
      </c>
      <c r="M11" s="37">
        <f>Main!$G$8-0.0001306*N11^2 * F11*(1+3.6/VLOOKUP(L11,Calculations!$B$4:$F$15,2,FALSE))/(3600*Main!$C$7*VLOOKUP(L11,Calculations!$B$4:$F$15,2,FALSE)^5)</f>
        <v>0.14820436411902377</v>
      </c>
      <c r="N11" s="37">
        <f t="shared" si="2"/>
        <v>0</v>
      </c>
      <c r="O11" s="37">
        <f>IF(H11&lt;32,SteamProperties!$F$24*Radiators!F11,IF(H11&lt;56,SteamProperties!$F$25*Radiators!F11,SteamProperties!$F$26*Radiators!F11))</f>
        <v>0</v>
      </c>
      <c r="P11" s="37">
        <f>IF(H11&lt;32,Calculations!$F$5*Radiators!F11,IF(H11&lt;56,Calculations!$F$6*Radiators!F11,Calculations!$F$7*Radiators!F11))</f>
        <v>0</v>
      </c>
      <c r="Q11" s="37">
        <f t="shared" si="3"/>
        <v>0</v>
      </c>
    </row>
    <row r="12" spans="1:20">
      <c r="B12" s="33"/>
      <c r="C12" s="34"/>
      <c r="D12" s="34"/>
      <c r="E12" s="34"/>
      <c r="F12" s="34"/>
      <c r="G12" s="34"/>
      <c r="H12" s="34">
        <f>IFERROR(IF(B12="Column",INDEX(RadCompList!$C$4:$G$13,MATCH(C12,RadCompList!$B$4:$B$13),MATCH(Radiators!D12,RadCompList!$C$3:$G$3)),IF(B12="Tube",INDEX(RadCompList!$C$16:$I$22,MATCH(C12,RadCompList!$B$16:$B$22),MATCH(Radiators!D12,RadCompList!$C$15:$I$15)),IF(B12="Cast Rad/Conv",INDEX(RadCompList!$C$28:$D$28,MATCH(C12,RadCompList!$B$28),MATCH(Radiators!D12,RadCompList!$C$27:$D$27)),IF(B12="Copper Cabinet",(INDEX(RadCompList!$E$39:$J$78,MATCH(Radiators!D12,RadCompList!$D$39:$D$78,0),MATCH(C12,RadCompList!$E$38:$J$38,0))),0))))*E12,0)*$A$2</f>
        <v>0</v>
      </c>
      <c r="I12" s="34">
        <f t="shared" si="1"/>
        <v>0</v>
      </c>
      <c r="J12" s="35">
        <f>IFERROR(VLOOKUP(G12,VentList!$A$1:$D$198,2,FALSE),0)</f>
        <v>0</v>
      </c>
      <c r="K12" s="26">
        <f>IFERROR(VLOOKUP(B12,RadCompList!$P$3:$Q$6,2,FALSE)*H12,0)</f>
        <v>0</v>
      </c>
      <c r="L12" s="26" t="str">
        <f t="shared" si="4"/>
        <v>3/4</v>
      </c>
      <c r="M12" s="37">
        <f>Main!$G$8-0.0001306*N12^2 * F12*(1+3.6/VLOOKUP(L12,Calculations!$B$4:$F$15,2,FALSE))/(3600*Main!$C$7*VLOOKUP(L12,Calculations!$B$4:$F$15,2,FALSE)^5)</f>
        <v>0.14820436411902377</v>
      </c>
      <c r="N12" s="37">
        <f t="shared" si="2"/>
        <v>0</v>
      </c>
      <c r="O12" s="37">
        <f>IF(H12&lt;32,SteamProperties!$F$24*Radiators!F12,IF(H12&lt;56,SteamProperties!$F$25*Radiators!F12,SteamProperties!$F$26*Radiators!F12))</f>
        <v>0</v>
      </c>
      <c r="P12" s="37">
        <f>IF(H12&lt;32,Calculations!$F$5*Radiators!F12,IF(H12&lt;56,Calculations!$F$6*Radiators!F12,Calculations!$F$7*Radiators!F12))</f>
        <v>0</v>
      </c>
      <c r="Q12" s="37">
        <f t="shared" si="3"/>
        <v>0</v>
      </c>
    </row>
    <row r="13" spans="1:20">
      <c r="B13" s="33"/>
      <c r="C13" s="34"/>
      <c r="D13" s="34"/>
      <c r="E13" s="34"/>
      <c r="F13" s="34"/>
      <c r="G13" s="34"/>
      <c r="H13" s="34">
        <f>IFERROR(IF(B13="Column",INDEX(RadCompList!$C$4:$G$13,MATCH(C13,RadCompList!$B$4:$B$13),MATCH(Radiators!D13,RadCompList!$C$3:$G$3)),IF(B13="Tube",INDEX(RadCompList!$C$16:$I$22,MATCH(C13,RadCompList!$B$16:$B$22),MATCH(Radiators!D13,RadCompList!$C$15:$I$15)),IF(B13="Cast Rad/Conv",INDEX(RadCompList!$C$28:$D$28,MATCH(C13,RadCompList!$B$28),MATCH(Radiators!D13,RadCompList!$C$27:$D$27)),IF(B13="Copper Cabinet",(INDEX(RadCompList!$E$39:$J$78,MATCH(Radiators!D13,RadCompList!$D$39:$D$78,0),MATCH(C13,RadCompList!$E$38:$J$38,0))),0))))*E13,0)*$A$2</f>
        <v>0</v>
      </c>
      <c r="I13" s="34">
        <f t="shared" si="1"/>
        <v>0</v>
      </c>
      <c r="J13" s="35">
        <f>IFERROR(VLOOKUP(G13,VentList!$A$1:$D$198,2,FALSE),0)</f>
        <v>0</v>
      </c>
      <c r="K13" s="26">
        <f>IFERROR(VLOOKUP(B13,RadCompList!$P$3:$Q$6,2,FALSE)*H13,0)</f>
        <v>0</v>
      </c>
      <c r="L13" s="26" t="str">
        <f t="shared" si="4"/>
        <v>3/4</v>
      </c>
      <c r="M13" s="37">
        <f>Main!$G$8-0.0001306*N13^2 * F13*(1+3.6/VLOOKUP(L13,Calculations!$B$4:$F$15,2,FALSE))/(3600*Main!$C$7*VLOOKUP(L13,Calculations!$B$4:$F$15,2,FALSE)^5)</f>
        <v>0.14820436411902377</v>
      </c>
      <c r="N13" s="37">
        <f t="shared" si="2"/>
        <v>0</v>
      </c>
      <c r="O13" s="37">
        <f>IF(H13&lt;32,SteamProperties!$F$24*Radiators!F13,IF(H13&lt;56,SteamProperties!$F$25*Radiators!F13,SteamProperties!$F$26*Radiators!F13))</f>
        <v>0</v>
      </c>
      <c r="P13" s="37">
        <f>IF(H13&lt;32,Calculations!$F$5*Radiators!F13,IF(H13&lt;56,Calculations!$F$6*Radiators!F13,Calculations!$F$7*Radiators!F13))</f>
        <v>0</v>
      </c>
      <c r="Q13" s="37">
        <f t="shared" si="3"/>
        <v>0</v>
      </c>
    </row>
    <row r="14" spans="1:20">
      <c r="B14" s="33"/>
      <c r="C14" s="34"/>
      <c r="D14" s="34"/>
      <c r="E14" s="34"/>
      <c r="F14" s="34"/>
      <c r="G14" s="34"/>
      <c r="H14" s="34">
        <f>IFERROR(IF(B14="Column",INDEX(RadCompList!$C$4:$G$13,MATCH(C14,RadCompList!$B$4:$B$13),MATCH(Radiators!D14,RadCompList!$C$3:$G$3)),IF(B14="Tube",INDEX(RadCompList!$C$16:$I$22,MATCH(C14,RadCompList!$B$16:$B$22),MATCH(Radiators!D14,RadCompList!$C$15:$I$15)),IF(B14="Cast Rad/Conv",INDEX(RadCompList!$C$28:$D$28,MATCH(C14,RadCompList!$B$28),MATCH(Radiators!D14,RadCompList!$C$27:$D$27)),IF(B14="Copper Cabinet",(INDEX(RadCompList!$E$39:$J$78,MATCH(Radiators!D14,RadCompList!$D$39:$D$78,0),MATCH(C14,RadCompList!$E$38:$J$38,0))),0))))*E14,0)*$A$2</f>
        <v>0</v>
      </c>
      <c r="I14" s="34">
        <f t="shared" si="1"/>
        <v>0</v>
      </c>
      <c r="J14" s="35">
        <f>IFERROR(VLOOKUP(G14,VentList!$A$1:$D$198,2,FALSE),0)</f>
        <v>0</v>
      </c>
      <c r="K14" s="26">
        <f>IFERROR(VLOOKUP(B14,RadCompList!$P$3:$Q$6,2,FALSE)*H14,0)</f>
        <v>0</v>
      </c>
      <c r="L14" s="26" t="str">
        <f t="shared" si="4"/>
        <v>3/4</v>
      </c>
      <c r="M14" s="37">
        <f>Main!$G$8-0.0001306*N14^2 * F14*(1+3.6/VLOOKUP(L14,Calculations!$B$4:$F$15,2,FALSE))/(3600*Main!$C$7*VLOOKUP(L14,Calculations!$B$4:$F$15,2,FALSE)^5)</f>
        <v>0.14820436411902377</v>
      </c>
      <c r="N14" s="37">
        <f t="shared" si="2"/>
        <v>0</v>
      </c>
      <c r="O14" s="37">
        <f>IF(H14&lt;32,SteamProperties!$F$24*Radiators!F14,IF(H14&lt;56,SteamProperties!$F$25*Radiators!F14,SteamProperties!$F$26*Radiators!F14))</f>
        <v>0</v>
      </c>
      <c r="P14" s="37">
        <f>IF(H14&lt;32,Calculations!$F$5*Radiators!F14,IF(H14&lt;56,Calculations!$F$6*Radiators!F14,Calculations!$F$7*Radiators!F14))</f>
        <v>0</v>
      </c>
      <c r="Q14" s="37">
        <f t="shared" si="3"/>
        <v>0</v>
      </c>
    </row>
    <row r="15" spans="1:20">
      <c r="B15" s="33"/>
      <c r="C15" s="34"/>
      <c r="D15" s="34"/>
      <c r="E15" s="34"/>
      <c r="F15" s="34"/>
      <c r="G15" s="34"/>
      <c r="H15" s="34">
        <f>IFERROR(IF(B15="Column",INDEX(RadCompList!$C$4:$G$13,MATCH(C15,RadCompList!$B$4:$B$13),MATCH(Radiators!D15,RadCompList!$C$3:$G$3)),IF(B15="Tube",INDEX(RadCompList!$C$16:$I$22,MATCH(C15,RadCompList!$B$16:$B$22),MATCH(Radiators!D15,RadCompList!$C$15:$I$15)),IF(B15="Cast Rad/Conv",INDEX(RadCompList!$C$28:$D$28,MATCH(C15,RadCompList!$B$28),MATCH(Radiators!D15,RadCompList!$C$27:$D$27)),IF(B15="Copper Cabinet",(INDEX(RadCompList!$E$39:$J$78,MATCH(Radiators!D15,RadCompList!$D$39:$D$78,0),MATCH(C15,RadCompList!$E$38:$J$38,0))),0))))*E15,0)*$A$2</f>
        <v>0</v>
      </c>
      <c r="I15" s="34">
        <f t="shared" si="1"/>
        <v>0</v>
      </c>
      <c r="J15" s="35">
        <f>IFERROR(VLOOKUP(G15,VentList!$A$1:$D$198,2,FALSE),0)</f>
        <v>0</v>
      </c>
      <c r="K15" s="26">
        <f>IFERROR(VLOOKUP(B15,RadCompList!$P$3:$Q$6,2,FALSE)*H15,0)</f>
        <v>0</v>
      </c>
      <c r="L15" s="26" t="str">
        <f t="shared" si="4"/>
        <v>3/4</v>
      </c>
      <c r="M15" s="37">
        <f>Main!$G$8-0.0001306*N15^2 * F15*(1+3.6/VLOOKUP(L15,Calculations!$B$4:$F$15,2,FALSE))/(3600*Main!$C$7*VLOOKUP(L15,Calculations!$B$4:$F$15,2,FALSE)^5)</f>
        <v>0.14820436411902377</v>
      </c>
      <c r="N15" s="37">
        <f t="shared" si="2"/>
        <v>0</v>
      </c>
      <c r="O15" s="37">
        <f>IF(H15&lt;32,SteamProperties!$F$24*Radiators!F15,IF(H15&lt;56,SteamProperties!$F$25*Radiators!F15,SteamProperties!$F$26*Radiators!F15))</f>
        <v>0</v>
      </c>
      <c r="P15" s="37">
        <f>IF(H15&lt;32,Calculations!$F$5*Radiators!F15,IF(H15&lt;56,Calculations!$F$6*Radiators!F15,Calculations!$F$7*Radiators!F15))</f>
        <v>0</v>
      </c>
      <c r="Q15" s="37">
        <f t="shared" si="3"/>
        <v>0</v>
      </c>
    </row>
    <row r="16" spans="1:20">
      <c r="B16" s="33"/>
      <c r="C16" s="34"/>
      <c r="D16" s="34"/>
      <c r="E16" s="34"/>
      <c r="F16" s="34"/>
      <c r="G16" s="34"/>
      <c r="H16" s="34">
        <f>IFERROR(IF(B16="Column",INDEX(RadCompList!$C$4:$G$13,MATCH(C16,RadCompList!$B$4:$B$13),MATCH(Radiators!D16,RadCompList!$C$3:$G$3)),IF(B16="Tube",INDEX(RadCompList!$C$16:$I$22,MATCH(C16,RadCompList!$B$16:$B$22),MATCH(Radiators!D16,RadCompList!$C$15:$I$15)),IF(B16="Cast Rad/Conv",INDEX(RadCompList!$C$28:$D$28,MATCH(C16,RadCompList!$B$28),MATCH(Radiators!D16,RadCompList!$C$27:$D$27)),IF(B16="Copper Cabinet",(INDEX(RadCompList!$E$39:$J$78,MATCH(Radiators!D16,RadCompList!$D$39:$D$78,0),MATCH(C16,RadCompList!$E$38:$J$38,0))),0))))*E16,0)*$A$2</f>
        <v>0</v>
      </c>
      <c r="I16" s="34">
        <f t="shared" si="1"/>
        <v>0</v>
      </c>
      <c r="J16" s="35">
        <f>IFERROR(VLOOKUP(G16,VentList!$A$1:$D$198,2,FALSE),0)</f>
        <v>0</v>
      </c>
      <c r="K16" s="26">
        <f>IFERROR(VLOOKUP(B16,RadCompList!$P$3:$Q$6,2,FALSE)*H16,0)</f>
        <v>0</v>
      </c>
      <c r="L16" s="26" t="str">
        <f t="shared" si="4"/>
        <v>3/4</v>
      </c>
      <c r="M16" s="37">
        <f>Main!$G$8-0.0001306*N16^2 * F16*(1+3.6/VLOOKUP(L16,Calculations!$B$4:$F$15,2,FALSE))/(3600*Main!$C$7*VLOOKUP(L16,Calculations!$B$4:$F$15,2,FALSE)^5)</f>
        <v>0.14820436411902377</v>
      </c>
      <c r="N16" s="37">
        <f t="shared" si="2"/>
        <v>0</v>
      </c>
      <c r="O16" s="37">
        <f>IF(H16&lt;32,SteamProperties!$F$24*Radiators!F16,IF(H16&lt;56,SteamProperties!$F$25*Radiators!F16,SteamProperties!$F$26*Radiators!F16))</f>
        <v>0</v>
      </c>
      <c r="P16" s="37">
        <f>IF(H16&lt;32,Calculations!$F$5*Radiators!F16,IF(H16&lt;56,Calculations!$F$6*Radiators!F16,Calculations!$F$7*Radiators!F16))</f>
        <v>0</v>
      </c>
      <c r="Q16" s="37">
        <f t="shared" si="3"/>
        <v>0</v>
      </c>
    </row>
    <row r="17" spans="2:17">
      <c r="B17" s="33"/>
      <c r="C17" s="34"/>
      <c r="D17" s="34"/>
      <c r="E17" s="34"/>
      <c r="F17" s="34"/>
      <c r="G17" s="34"/>
      <c r="H17" s="34">
        <f>IFERROR(IF(B17="Column",INDEX(RadCompList!$C$4:$G$13,MATCH(C17,RadCompList!$B$4:$B$13),MATCH(Radiators!D17,RadCompList!$C$3:$G$3)),IF(B17="Tube",INDEX(RadCompList!$C$16:$I$22,MATCH(C17,RadCompList!$B$16:$B$22),MATCH(Radiators!D17,RadCompList!$C$15:$I$15)),IF(B17="Cast Rad/Conv",INDEX(RadCompList!$C$28:$D$28,MATCH(C17,RadCompList!$B$28),MATCH(Radiators!D17,RadCompList!$C$27:$D$27)),IF(B17="Copper Cabinet",(INDEX(RadCompList!$E$39:$J$78,MATCH(Radiators!D17,RadCompList!$D$39:$D$78,0),MATCH(C17,RadCompList!$E$38:$J$38,0))),0))))*E17,0)*$A$2</f>
        <v>0</v>
      </c>
      <c r="I17" s="34">
        <f t="shared" si="1"/>
        <v>0</v>
      </c>
      <c r="J17" s="35">
        <f>IFERROR(VLOOKUP(G17,VentList!$A$1:$D$198,2,FALSE),0)</f>
        <v>0</v>
      </c>
      <c r="K17" s="26">
        <f>IFERROR(VLOOKUP(B17,RadCompList!$P$3:$Q$6,2,FALSE)*H17,0)</f>
        <v>0</v>
      </c>
      <c r="L17" s="26" t="str">
        <f t="shared" si="4"/>
        <v>3/4</v>
      </c>
      <c r="M17" s="37">
        <f>Main!$G$8-0.0001306*N17^2 * F17*(1+3.6/VLOOKUP(L17,Calculations!$B$4:$F$15,2,FALSE))/(3600*Main!$C$7*VLOOKUP(L17,Calculations!$B$4:$F$15,2,FALSE)^5)</f>
        <v>0.14820436411902377</v>
      </c>
      <c r="N17" s="37">
        <f t="shared" si="2"/>
        <v>0</v>
      </c>
      <c r="O17" s="37">
        <f>IF(H17&lt;32,SteamProperties!$F$24*Radiators!F17,IF(H17&lt;56,SteamProperties!$F$25*Radiators!F17,SteamProperties!$F$26*Radiators!F17))</f>
        <v>0</v>
      </c>
      <c r="P17" s="37">
        <f>IF(H17&lt;32,Calculations!$F$5*Radiators!F17,IF(H17&lt;56,Calculations!$F$6*Radiators!F17,Calculations!$F$7*Radiators!F17))</f>
        <v>0</v>
      </c>
      <c r="Q17" s="37">
        <f t="shared" si="3"/>
        <v>0</v>
      </c>
    </row>
    <row r="18" spans="2:17">
      <c r="B18" s="33"/>
      <c r="C18" s="34"/>
      <c r="D18" s="34"/>
      <c r="E18" s="34"/>
      <c r="F18" s="34"/>
      <c r="G18" s="34"/>
      <c r="H18" s="34">
        <f>IFERROR(IF(B18="Column",INDEX(RadCompList!$C$4:$G$13,MATCH(C18,RadCompList!$B$4:$B$13),MATCH(Radiators!D18,RadCompList!$C$3:$G$3)),IF(B18="Tube",INDEX(RadCompList!$C$16:$I$22,MATCH(C18,RadCompList!$B$16:$B$22),MATCH(Radiators!D18,RadCompList!$C$15:$I$15)),IF(B18="Cast Rad/Conv",INDEX(RadCompList!$C$28:$D$28,MATCH(C18,RadCompList!$B$28),MATCH(Radiators!D18,RadCompList!$C$27:$D$27)),IF(B18="Copper Cabinet",(INDEX(RadCompList!$E$39:$J$78,MATCH(Radiators!D18,RadCompList!$D$39:$D$78,0),MATCH(C18,RadCompList!$E$38:$J$38,0))),0))))*E18,0)*$A$2</f>
        <v>0</v>
      </c>
      <c r="I18" s="34">
        <f t="shared" si="1"/>
        <v>0</v>
      </c>
      <c r="J18" s="35">
        <f>IFERROR(VLOOKUP(G18,VentList!$A$1:$D$198,2,FALSE),0)</f>
        <v>0</v>
      </c>
      <c r="K18" s="26">
        <f>IFERROR(VLOOKUP(B18,RadCompList!$P$3:$Q$6,2,FALSE)*H18,0)</f>
        <v>0</v>
      </c>
      <c r="L18" s="26" t="str">
        <f t="shared" si="4"/>
        <v>3/4</v>
      </c>
      <c r="M18" s="37">
        <f>Main!$G$8-0.0001306*N18^2 * F18*(1+3.6/VLOOKUP(L18,Calculations!$B$4:$F$15,2,FALSE))/(3600*Main!$C$7*VLOOKUP(L18,Calculations!$B$4:$F$15,2,FALSE)^5)</f>
        <v>0.14820436411902377</v>
      </c>
      <c r="N18" s="37">
        <f t="shared" si="2"/>
        <v>0</v>
      </c>
      <c r="O18" s="37">
        <f>IF(H18&lt;32,SteamProperties!$F$24*Radiators!F18,IF(H18&lt;56,SteamProperties!$F$25*Radiators!F18,SteamProperties!$F$26*Radiators!F18))</f>
        <v>0</v>
      </c>
      <c r="P18" s="37">
        <f>IF(H18&lt;32,Calculations!$F$5*Radiators!F18,IF(H18&lt;56,Calculations!$F$6*Radiators!F18,Calculations!$F$7*Radiators!F18))</f>
        <v>0</v>
      </c>
      <c r="Q18" s="37">
        <f t="shared" si="3"/>
        <v>0</v>
      </c>
    </row>
    <row r="19" spans="2:17">
      <c r="B19" s="33"/>
      <c r="C19" s="34"/>
      <c r="D19" s="34"/>
      <c r="E19" s="34"/>
      <c r="F19" s="34"/>
      <c r="G19" s="34"/>
      <c r="H19" s="34">
        <f>IFERROR(IF(B19="Column",INDEX(RadCompList!$C$4:$G$13,MATCH(C19,RadCompList!$B$4:$B$13),MATCH(Radiators!D19,RadCompList!$C$3:$G$3)),IF(B19="Tube",INDEX(RadCompList!$C$16:$I$22,MATCH(C19,RadCompList!$B$16:$B$22),MATCH(Radiators!D19,RadCompList!$C$15:$I$15)),IF(B19="Cast Rad/Conv",INDEX(RadCompList!$C$28:$D$28,MATCH(C19,RadCompList!$B$28),MATCH(Radiators!D19,RadCompList!$C$27:$D$27)),IF(B19="Copper Cabinet",(INDEX(RadCompList!$E$39:$J$78,MATCH(Radiators!D19,RadCompList!$D$39:$D$78,0),MATCH(C19,RadCompList!$E$38:$J$38,0))),0))))*E19,0)*$A$2</f>
        <v>0</v>
      </c>
      <c r="I19" s="34">
        <f t="shared" si="1"/>
        <v>0</v>
      </c>
      <c r="J19" s="35">
        <f>IFERROR(VLOOKUP(G19,VentList!$A$1:$D$198,2,FALSE),0)</f>
        <v>0</v>
      </c>
      <c r="K19" s="26">
        <f>IFERROR(VLOOKUP(B19,RadCompList!$P$3:$Q$6,2,FALSE)*H19,0)</f>
        <v>0</v>
      </c>
      <c r="L19" s="26" t="str">
        <f t="shared" si="4"/>
        <v>3/4</v>
      </c>
      <c r="M19" s="37">
        <f>Main!$G$8-0.0001306*N19^2 * F19*(1+3.6/VLOOKUP(L19,Calculations!$B$4:$F$15,2,FALSE))/(3600*Main!$C$7*VLOOKUP(L19,Calculations!$B$4:$F$15,2,FALSE)^5)</f>
        <v>0.14820436411902377</v>
      </c>
      <c r="N19" s="37">
        <f t="shared" si="2"/>
        <v>0</v>
      </c>
      <c r="O19" s="37">
        <f>IF(H19&lt;32,SteamProperties!$F$24*Radiators!F19,IF(H19&lt;56,SteamProperties!$F$25*Radiators!F19,SteamProperties!$F$26*Radiators!F19))</f>
        <v>0</v>
      </c>
      <c r="P19" s="37">
        <f>IF(H19&lt;32,Calculations!$F$5*Radiators!F19,IF(H19&lt;56,Calculations!$F$6*Radiators!F19,Calculations!$F$7*Radiators!F19))</f>
        <v>0</v>
      </c>
      <c r="Q19" s="37">
        <f t="shared" si="3"/>
        <v>0</v>
      </c>
    </row>
    <row r="20" spans="2:17">
      <c r="B20" s="33"/>
      <c r="C20" s="34"/>
      <c r="D20" s="34"/>
      <c r="E20" s="34"/>
      <c r="F20" s="34"/>
      <c r="G20" s="34"/>
      <c r="H20" s="34">
        <f>IFERROR(IF(B20="Column",INDEX(RadCompList!$C$4:$G$13,MATCH(C20,RadCompList!$B$4:$B$13),MATCH(Radiators!D20,RadCompList!$C$3:$G$3)),IF(B20="Tube",INDEX(RadCompList!$C$16:$I$22,MATCH(C20,RadCompList!$B$16:$B$22),MATCH(Radiators!D20,RadCompList!$C$15:$I$15)),IF(B20="Cast Rad/Conv",INDEX(RadCompList!$C$28:$D$28,MATCH(C20,RadCompList!$B$28),MATCH(Radiators!D20,RadCompList!$C$27:$D$27)),IF(B20="Copper Cabinet",(INDEX(RadCompList!$E$39:$J$78,MATCH(Radiators!D20,RadCompList!$D$39:$D$78,0),MATCH(C20,RadCompList!$E$38:$J$38,0))),0))))*E20,0)*$A$2</f>
        <v>0</v>
      </c>
      <c r="I20" s="34">
        <f t="shared" si="1"/>
        <v>0</v>
      </c>
      <c r="J20" s="35">
        <f>IFERROR(VLOOKUP(G20,VentList!$A$1:$D$198,2,FALSE),0)</f>
        <v>0</v>
      </c>
      <c r="K20" s="26">
        <f>IFERROR(VLOOKUP(B20,RadCompList!$P$3:$Q$6,2,FALSE)*H20,0)</f>
        <v>0</v>
      </c>
      <c r="L20" s="26" t="str">
        <f t="shared" si="4"/>
        <v>3/4</v>
      </c>
      <c r="M20" s="37">
        <f>Main!$G$8-0.0001306*N20^2 * F20*(1+3.6/VLOOKUP(L20,Calculations!$B$4:$F$15,2,FALSE))/(3600*Main!$C$7*VLOOKUP(L20,Calculations!$B$4:$F$15,2,FALSE)^5)</f>
        <v>0.14820436411902377</v>
      </c>
      <c r="N20" s="37">
        <f t="shared" si="2"/>
        <v>0</v>
      </c>
      <c r="O20" s="37">
        <f>IF(H20&lt;32,SteamProperties!$F$24*Radiators!F20,IF(H20&lt;56,SteamProperties!$F$25*Radiators!F20,SteamProperties!$F$26*Radiators!F20))</f>
        <v>0</v>
      </c>
      <c r="P20" s="37">
        <f>IF(H20&lt;32,Calculations!$F$5*Radiators!F20,IF(H20&lt;56,Calculations!$F$6*Radiators!F20,Calculations!$F$7*Radiators!F20))</f>
        <v>0</v>
      </c>
      <c r="Q20" s="37">
        <f t="shared" si="3"/>
        <v>0</v>
      </c>
    </row>
    <row r="21" spans="2:17">
      <c r="B21" s="33"/>
      <c r="C21" s="34"/>
      <c r="D21" s="34"/>
      <c r="E21" s="34"/>
      <c r="F21" s="34"/>
      <c r="G21" s="34"/>
      <c r="H21" s="34">
        <f>IFERROR(IF(B21="Column",INDEX(RadCompList!$C$4:$G$13,MATCH(C21,RadCompList!$B$4:$B$13),MATCH(Radiators!D21,RadCompList!$C$3:$G$3)),IF(B21="Tube",INDEX(RadCompList!$C$16:$I$22,MATCH(C21,RadCompList!$B$16:$B$22),MATCH(Radiators!D21,RadCompList!$C$15:$I$15)),IF(B21="Cast Rad/Conv",INDEX(RadCompList!$C$28:$D$28,MATCH(C21,RadCompList!$B$28),MATCH(Radiators!D21,RadCompList!$C$27:$D$27)),IF(B21="Copper Cabinet",(INDEX(RadCompList!$E$39:$J$78,MATCH(Radiators!D21,RadCompList!$D$39:$D$78,0),MATCH(C21,RadCompList!$E$38:$J$38,0))),0))))*E21,0)*$A$2</f>
        <v>0</v>
      </c>
      <c r="I21" s="34">
        <f t="shared" si="1"/>
        <v>0</v>
      </c>
      <c r="J21" s="35">
        <f>IFERROR(VLOOKUP(G21,VentList!$A$1:$D$198,2,FALSE),0)</f>
        <v>0</v>
      </c>
      <c r="K21" s="26">
        <f>IFERROR(VLOOKUP(B21,RadCompList!$P$3:$Q$6,2,FALSE)*H21,0)</f>
        <v>0</v>
      </c>
      <c r="L21" s="26" t="str">
        <f t="shared" si="4"/>
        <v>3/4</v>
      </c>
      <c r="M21" s="37">
        <f>Main!$G$8-0.0001306*N21^2 * F21*(1+3.6/VLOOKUP(L21,Calculations!$B$4:$F$15,2,FALSE))/(3600*Main!$C$7*VLOOKUP(L21,Calculations!$B$4:$F$15,2,FALSE)^5)</f>
        <v>0.14820436411902377</v>
      </c>
      <c r="N21" s="37">
        <f t="shared" si="2"/>
        <v>0</v>
      </c>
      <c r="O21" s="37">
        <f>IF(H21&lt;32,SteamProperties!$F$24*Radiators!F21,IF(H21&lt;56,SteamProperties!$F$25*Radiators!F21,SteamProperties!$F$26*Radiators!F21))</f>
        <v>0</v>
      </c>
      <c r="P21" s="37">
        <f>IF(H21&lt;32,Calculations!$F$5*Radiators!F21,IF(H21&lt;56,Calculations!$F$6*Radiators!F21,Calculations!$F$7*Radiators!F21))</f>
        <v>0</v>
      </c>
      <c r="Q21" s="37">
        <f t="shared" si="3"/>
        <v>0</v>
      </c>
    </row>
    <row r="22" spans="2:17">
      <c r="B22" s="33"/>
      <c r="C22" s="34"/>
      <c r="D22" s="34"/>
      <c r="E22" s="34"/>
      <c r="F22" s="34"/>
      <c r="G22" s="34"/>
      <c r="H22" s="34">
        <f>IFERROR(IF(B22="Column",INDEX(RadCompList!$C$4:$G$13,MATCH(C22,RadCompList!$B$4:$B$13),MATCH(Radiators!D22,RadCompList!$C$3:$G$3)),IF(B22="Tube",INDEX(RadCompList!$C$16:$I$22,MATCH(C22,RadCompList!$B$16:$B$22),MATCH(Radiators!D22,RadCompList!$C$15:$I$15)),IF(B22="Cast Rad/Conv",INDEX(RadCompList!$C$28:$D$28,MATCH(C22,RadCompList!$B$28),MATCH(Radiators!D22,RadCompList!$C$27:$D$27)),IF(B22="Copper Cabinet",(INDEX(RadCompList!$E$39:$J$78,MATCH(Radiators!D22,RadCompList!$D$39:$D$78,0),MATCH(C22,RadCompList!$E$38:$J$38,0))),0))))*E22,0)*$A$2</f>
        <v>0</v>
      </c>
      <c r="I22" s="34">
        <f t="shared" si="1"/>
        <v>0</v>
      </c>
      <c r="J22" s="35">
        <f>IFERROR(VLOOKUP(G22,VentList!$A$1:$D$198,2,FALSE),0)</f>
        <v>0</v>
      </c>
      <c r="K22" s="26">
        <f>IFERROR(VLOOKUP(B22,RadCompList!$P$3:$Q$6,2,FALSE)*H22,0)</f>
        <v>0</v>
      </c>
      <c r="L22" s="26" t="str">
        <f t="shared" si="4"/>
        <v>3/4</v>
      </c>
      <c r="M22" s="37">
        <f>Main!$G$8-0.0001306*N22^2 * F22*(1+3.6/VLOOKUP(L22,Calculations!$B$4:$F$15,2,FALSE))/(3600*Main!$C$7*VLOOKUP(L22,Calculations!$B$4:$F$15,2,FALSE)^5)</f>
        <v>0.14820436411902377</v>
      </c>
      <c r="N22" s="37">
        <f t="shared" si="2"/>
        <v>0</v>
      </c>
      <c r="O22" s="37">
        <f>IF(H22&lt;32,SteamProperties!$F$24*Radiators!F22,IF(H22&lt;56,SteamProperties!$F$25*Radiators!F22,SteamProperties!$F$26*Radiators!F22))</f>
        <v>0</v>
      </c>
      <c r="P22" s="37">
        <f>IF(H22&lt;32,Calculations!$F$5*Radiators!F22,IF(H22&lt;56,Calculations!$F$6*Radiators!F22,Calculations!$F$7*Radiators!F22))</f>
        <v>0</v>
      </c>
      <c r="Q22" s="37">
        <f t="shared" si="3"/>
        <v>0</v>
      </c>
    </row>
    <row r="23" spans="2:17">
      <c r="B23" s="33"/>
      <c r="C23" s="34"/>
      <c r="D23" s="34"/>
      <c r="E23" s="34"/>
      <c r="F23" s="34"/>
      <c r="G23" s="34"/>
      <c r="H23" s="34">
        <f>IFERROR(IF(B23="Column",INDEX(RadCompList!$C$4:$G$13,MATCH(C23,RadCompList!$B$4:$B$13),MATCH(Radiators!D23,RadCompList!$C$3:$G$3)),IF(B23="Tube",INDEX(RadCompList!$C$16:$I$22,MATCH(C23,RadCompList!$B$16:$B$22),MATCH(Radiators!D23,RadCompList!$C$15:$I$15)),IF(B23="Cast Rad/Conv",INDEX(RadCompList!$C$28:$D$28,MATCH(C23,RadCompList!$B$28),MATCH(Radiators!D23,RadCompList!$C$27:$D$27)),IF(B23="Copper Cabinet",(INDEX(RadCompList!$E$39:$J$78,MATCH(Radiators!D23,RadCompList!$D$39:$D$78,0),MATCH(C23,RadCompList!$E$38:$J$38,0))),0))))*E23,0)*$A$2</f>
        <v>0</v>
      </c>
      <c r="I23" s="34">
        <f t="shared" si="1"/>
        <v>0</v>
      </c>
      <c r="J23" s="35">
        <f>IFERROR(VLOOKUP(G23,VentList!$A$1:$D$198,2,FALSE),0)</f>
        <v>0</v>
      </c>
      <c r="K23" s="26">
        <f>IFERROR(VLOOKUP(B23,RadCompList!$P$3:$Q$6,2,FALSE)*H23,0)</f>
        <v>0</v>
      </c>
      <c r="L23" s="26" t="str">
        <f t="shared" si="4"/>
        <v>3/4</v>
      </c>
      <c r="M23" s="37">
        <f>Main!$G$8-0.0001306*N23^2 * F23*(1+3.6/VLOOKUP(L23,Calculations!$B$4:$F$15,2,FALSE))/(3600*Main!$C$7*VLOOKUP(L23,Calculations!$B$4:$F$15,2,FALSE)^5)</f>
        <v>0.14820436411902377</v>
      </c>
      <c r="N23" s="37">
        <f t="shared" si="2"/>
        <v>0</v>
      </c>
      <c r="O23" s="37">
        <f>IF(H23&lt;32,SteamProperties!$F$24*Radiators!F23,IF(H23&lt;56,SteamProperties!$F$25*Radiators!F23,SteamProperties!$F$26*Radiators!F23))</f>
        <v>0</v>
      </c>
      <c r="P23" s="37">
        <f>IF(H23&lt;32,Calculations!$F$5*Radiators!F23,IF(H23&lt;56,Calculations!$F$6*Radiators!F23,Calculations!$F$7*Radiators!F23))</f>
        <v>0</v>
      </c>
      <c r="Q23" s="37">
        <f t="shared" si="3"/>
        <v>0</v>
      </c>
    </row>
    <row r="24" spans="2:17">
      <c r="B24" s="33"/>
      <c r="C24" s="34"/>
      <c r="D24" s="34"/>
      <c r="E24" s="34"/>
      <c r="F24" s="34"/>
      <c r="G24" s="34"/>
      <c r="H24" s="34">
        <f>IFERROR(IF(B24="Column",INDEX(RadCompList!$C$4:$G$13,MATCH(C24,RadCompList!$B$4:$B$13),MATCH(Radiators!D24,RadCompList!$C$3:$G$3)),IF(B24="Tube",INDEX(RadCompList!$C$16:$I$22,MATCH(C24,RadCompList!$B$16:$B$22),MATCH(Radiators!D24,RadCompList!$C$15:$I$15)),IF(B24="Cast Rad/Conv",INDEX(RadCompList!$C$28:$D$28,MATCH(C24,RadCompList!$B$28),MATCH(Radiators!D24,RadCompList!$C$27:$D$27)),IF(B24="Copper Cabinet",(INDEX(RadCompList!$E$39:$J$78,MATCH(Radiators!D24,RadCompList!$D$39:$D$78,0),MATCH(C24,RadCompList!$E$38:$J$38,0))),0))))*E24,0)*$A$2</f>
        <v>0</v>
      </c>
      <c r="I24" s="34">
        <f t="shared" si="1"/>
        <v>0</v>
      </c>
      <c r="J24" s="35">
        <f>IFERROR(VLOOKUP(G24,VentList!$A$1:$D$198,2,FALSE),0)</f>
        <v>0</v>
      </c>
      <c r="K24" s="26">
        <f>IFERROR(VLOOKUP(B24,RadCompList!$P$3:$Q$6,2,FALSE)*H24,0)</f>
        <v>0</v>
      </c>
      <c r="L24" s="26" t="str">
        <f t="shared" si="4"/>
        <v>3/4</v>
      </c>
      <c r="M24" s="37">
        <f>Main!$G$8-0.0001306*N24^2 * F24*(1+3.6/VLOOKUP(L24,Calculations!$B$4:$F$15,2,FALSE))/(3600*Main!$C$7*VLOOKUP(L24,Calculations!$B$4:$F$15,2,FALSE)^5)</f>
        <v>0.14820436411902377</v>
      </c>
      <c r="N24" s="37">
        <f t="shared" si="2"/>
        <v>0</v>
      </c>
      <c r="O24" s="37">
        <f>IF(H24&lt;32,SteamProperties!$F$24*Radiators!F24,IF(H24&lt;56,SteamProperties!$F$25*Radiators!F24,SteamProperties!$F$26*Radiators!F24))</f>
        <v>0</v>
      </c>
      <c r="P24" s="37">
        <f>IF(H24&lt;32,Calculations!$F$5*Radiators!F24,IF(H24&lt;56,Calculations!$F$6*Radiators!F24,Calculations!$F$7*Radiators!F24))</f>
        <v>0</v>
      </c>
      <c r="Q24" s="37">
        <f t="shared" si="3"/>
        <v>0</v>
      </c>
    </row>
    <row r="25" spans="2:17">
      <c r="B25" s="33"/>
      <c r="C25" s="34"/>
      <c r="D25" s="34"/>
      <c r="E25" s="34"/>
      <c r="F25" s="34"/>
      <c r="G25" s="34"/>
      <c r="H25" s="34">
        <f>IFERROR(IF(B25="Column",INDEX(RadCompList!$C$4:$G$13,MATCH(C25,RadCompList!$B$4:$B$13),MATCH(Radiators!D25,RadCompList!$C$3:$G$3)),IF(B25="Tube",INDEX(RadCompList!$C$16:$I$22,MATCH(C25,RadCompList!$B$16:$B$22),MATCH(Radiators!D25,RadCompList!$C$15:$I$15)),IF(B25="Cast Rad/Conv",INDEX(RadCompList!$C$28:$D$28,MATCH(C25,RadCompList!$B$28),MATCH(Radiators!D25,RadCompList!$C$27:$D$27)),IF(B25="Copper Cabinet",(INDEX(RadCompList!$E$39:$J$78,MATCH(Radiators!D25,RadCompList!$D$39:$D$78,0),MATCH(C25,RadCompList!$E$38:$J$38,0))),0))))*E25,0)*$A$2</f>
        <v>0</v>
      </c>
      <c r="I25" s="34">
        <f t="shared" si="1"/>
        <v>0</v>
      </c>
      <c r="J25" s="35">
        <f>IFERROR(VLOOKUP(G25,VentList!$A$1:$D$198,2,FALSE),0)</f>
        <v>0</v>
      </c>
      <c r="K25" s="26">
        <f>IFERROR(VLOOKUP(B25,RadCompList!$P$3:$Q$6,2,FALSE)*H25,0)</f>
        <v>0</v>
      </c>
      <c r="L25" s="26" t="str">
        <f t="shared" si="4"/>
        <v>3/4</v>
      </c>
      <c r="M25" s="37">
        <f>Main!$G$8-0.0001306*N25^2 * F25*(1+3.6/VLOOKUP(L25,Calculations!$B$4:$F$15,2,FALSE))/(3600*Main!$C$7*VLOOKUP(L25,Calculations!$B$4:$F$15,2,FALSE)^5)</f>
        <v>0.14820436411902377</v>
      </c>
      <c r="N25" s="37">
        <f t="shared" si="2"/>
        <v>0</v>
      </c>
      <c r="O25" s="37">
        <f>IF(H25&lt;32,SteamProperties!$F$24*Radiators!F25,IF(H25&lt;56,SteamProperties!$F$25*Radiators!F25,SteamProperties!$F$26*Radiators!F25))</f>
        <v>0</v>
      </c>
      <c r="P25" s="37">
        <f>IF(H25&lt;32,Calculations!$F$5*Radiators!F25,IF(H25&lt;56,Calculations!$F$6*Radiators!F25,Calculations!$F$7*Radiators!F25))</f>
        <v>0</v>
      </c>
      <c r="Q25" s="37">
        <f t="shared" si="3"/>
        <v>0</v>
      </c>
    </row>
    <row r="26" spans="2:17">
      <c r="B26" s="33"/>
      <c r="C26" s="34"/>
      <c r="D26" s="34"/>
      <c r="E26" s="34"/>
      <c r="F26" s="34"/>
      <c r="G26" s="34"/>
      <c r="H26" s="34">
        <f>IFERROR(IF(B26="Column",INDEX(RadCompList!$C$4:$G$13,MATCH(C26,RadCompList!$B$4:$B$13),MATCH(Radiators!D26,RadCompList!$C$3:$G$3)),IF(B26="Tube",INDEX(RadCompList!$C$16:$I$22,MATCH(C26,RadCompList!$B$16:$B$22),MATCH(Radiators!D26,RadCompList!$C$15:$I$15)),IF(B26="Cast Rad/Conv",INDEX(RadCompList!$C$28:$D$28,MATCH(C26,RadCompList!$B$28),MATCH(Radiators!D26,RadCompList!$C$27:$D$27)),IF(B26="Copper Cabinet",(INDEX(RadCompList!$E$39:$J$78,MATCH(Radiators!D26,RadCompList!$D$39:$D$78,0),MATCH(C26,RadCompList!$E$38:$J$38,0))),0))))*E26,0)*$A$2</f>
        <v>0</v>
      </c>
      <c r="I26" s="34">
        <f t="shared" si="1"/>
        <v>0</v>
      </c>
      <c r="J26" s="35">
        <f>IFERROR(VLOOKUP(G26,VentList!$A$1:$D$198,2,FALSE),0)</f>
        <v>0</v>
      </c>
      <c r="K26" s="26">
        <f>IFERROR(VLOOKUP(B26,RadCompList!$P$3:$Q$6,2,FALSE)*H26,0)</f>
        <v>0</v>
      </c>
      <c r="L26" s="26" t="str">
        <f t="shared" si="4"/>
        <v>3/4</v>
      </c>
      <c r="M26" s="37">
        <f>Main!$G$8-0.0001306*N26^2 * F26*(1+3.6/VLOOKUP(L26,Calculations!$B$4:$F$15,2,FALSE))/(3600*Main!$C$7*VLOOKUP(L26,Calculations!$B$4:$F$15,2,FALSE)^5)</f>
        <v>0.14820436411902377</v>
      </c>
      <c r="N26" s="37">
        <f t="shared" si="2"/>
        <v>0</v>
      </c>
      <c r="O26" s="37">
        <f>IF(H26&lt;32,SteamProperties!$F$24*Radiators!F26,IF(H26&lt;56,SteamProperties!$F$25*Radiators!F26,SteamProperties!$F$26*Radiators!F26))</f>
        <v>0</v>
      </c>
      <c r="P26" s="37">
        <f>IF(H26&lt;32,Calculations!$F$5*Radiators!F26,IF(H26&lt;56,Calculations!$F$6*Radiators!F26,Calculations!$F$7*Radiators!F26))</f>
        <v>0</v>
      </c>
      <c r="Q26" s="37">
        <f t="shared" si="3"/>
        <v>0</v>
      </c>
    </row>
    <row r="27" spans="2:17">
      <c r="B27" s="33"/>
      <c r="C27" s="34"/>
      <c r="D27" s="34"/>
      <c r="E27" s="34"/>
      <c r="F27" s="34"/>
      <c r="G27" s="34"/>
      <c r="H27" s="34">
        <f>IFERROR(IF(B27="Column",INDEX(RadCompList!$C$4:$G$13,MATCH(C27,RadCompList!$B$4:$B$13),MATCH(Radiators!D27,RadCompList!$C$3:$G$3)),IF(B27="Tube",INDEX(RadCompList!$C$16:$I$22,MATCH(C27,RadCompList!$B$16:$B$22),MATCH(Radiators!D27,RadCompList!$C$15:$I$15)),IF(B27="Cast Rad/Conv",INDEX(RadCompList!$C$28:$D$28,MATCH(C27,RadCompList!$B$28),MATCH(Radiators!D27,RadCompList!$C$27:$D$27)),IF(B27="Copper Cabinet",(INDEX(RadCompList!$E$39:$J$78,MATCH(Radiators!D27,RadCompList!$D$39:$D$78,0),MATCH(C27,RadCompList!$E$38:$J$38,0))),0))))*E27,0)*$A$2</f>
        <v>0</v>
      </c>
      <c r="I27" s="34">
        <f t="shared" si="1"/>
        <v>0</v>
      </c>
      <c r="J27" s="35">
        <f>IFERROR(VLOOKUP(G27,VentList!$A$1:$D$198,2,FALSE),0)</f>
        <v>0</v>
      </c>
      <c r="K27" s="26">
        <f>IFERROR(VLOOKUP(B27,RadCompList!$P$3:$Q$6,2,FALSE)*H27,0)</f>
        <v>0</v>
      </c>
      <c r="L27" s="26" t="str">
        <f t="shared" si="4"/>
        <v>3/4</v>
      </c>
      <c r="M27" s="37">
        <f>Main!$G$8-0.0001306*N27^2 * F27*(1+3.6/VLOOKUP(L27,Calculations!$B$4:$F$15,2,FALSE))/(3600*Main!$C$7*VLOOKUP(L27,Calculations!$B$4:$F$15,2,FALSE)^5)</f>
        <v>0.14820436411902377</v>
      </c>
      <c r="N27" s="37">
        <f t="shared" si="2"/>
        <v>0</v>
      </c>
      <c r="O27" s="37">
        <f>IF(H27&lt;32,SteamProperties!$F$24*Radiators!F27,IF(H27&lt;56,SteamProperties!$F$25*Radiators!F27,SteamProperties!$F$26*Radiators!F27))</f>
        <v>0</v>
      </c>
      <c r="P27" s="37">
        <f>IF(H27&lt;32,Calculations!$F$5*Radiators!F27,IF(H27&lt;56,Calculations!$F$6*Radiators!F27,Calculations!$F$7*Radiators!F27))</f>
        <v>0</v>
      </c>
      <c r="Q27" s="37">
        <f t="shared" si="3"/>
        <v>0</v>
      </c>
    </row>
    <row r="28" spans="2:17">
      <c r="B28" s="33"/>
      <c r="C28" s="34"/>
      <c r="D28" s="34"/>
      <c r="E28" s="34"/>
      <c r="F28" s="34"/>
      <c r="G28" s="34"/>
      <c r="H28" s="34">
        <f>IFERROR(IF(B28="Column",INDEX(RadCompList!$C$4:$G$13,MATCH(C28,RadCompList!$B$4:$B$13),MATCH(Radiators!D28,RadCompList!$C$3:$G$3)),IF(B28="Tube",INDEX(RadCompList!$C$16:$I$22,MATCH(C28,RadCompList!$B$16:$B$22),MATCH(Radiators!D28,RadCompList!$C$15:$I$15)),IF(B28="Cast Rad/Conv",INDEX(RadCompList!$C$28:$D$28,MATCH(C28,RadCompList!$B$28),MATCH(Radiators!D28,RadCompList!$C$27:$D$27)),IF(B28="Copper Cabinet",(INDEX(RadCompList!$E$39:$J$78,MATCH(Radiators!D28,RadCompList!$D$39:$D$78,0),MATCH(C28,RadCompList!$E$38:$J$38,0))),0))))*E28,0)*$A$2</f>
        <v>0</v>
      </c>
      <c r="I28" s="34">
        <f t="shared" si="1"/>
        <v>0</v>
      </c>
      <c r="J28" s="35">
        <f>IFERROR(VLOOKUP(G28,VentList!$A$1:$D$198,2,FALSE),0)</f>
        <v>0</v>
      </c>
      <c r="K28" s="26">
        <f>IFERROR(VLOOKUP(B28,RadCompList!$P$3:$Q$6,2,FALSE)*H28,0)</f>
        <v>0</v>
      </c>
      <c r="L28" s="26" t="str">
        <f t="shared" si="4"/>
        <v>3/4</v>
      </c>
      <c r="M28" s="37">
        <f>Main!$G$8-0.0001306*N28^2 * F28*(1+3.6/VLOOKUP(L28,Calculations!$B$4:$F$15,2,FALSE))/(3600*Main!$C$7*VLOOKUP(L28,Calculations!$B$4:$F$15,2,FALSE)^5)</f>
        <v>0.14820436411902377</v>
      </c>
      <c r="N28" s="37">
        <f t="shared" si="2"/>
        <v>0</v>
      </c>
      <c r="O28" s="37">
        <f>IF(H28&lt;32,SteamProperties!$F$24*Radiators!F28,IF(H28&lt;56,SteamProperties!$F$25*Radiators!F28,SteamProperties!$F$26*Radiators!F28))</f>
        <v>0</v>
      </c>
      <c r="P28" s="37">
        <f>IF(H28&lt;32,Calculations!$F$5*Radiators!F28,IF(H28&lt;56,Calculations!$F$6*Radiators!F28,Calculations!$F$7*Radiators!F28))</f>
        <v>0</v>
      </c>
      <c r="Q28" s="37">
        <f t="shared" si="3"/>
        <v>0</v>
      </c>
    </row>
    <row r="29" spans="2:17">
      <c r="B29" s="33"/>
      <c r="C29" s="34"/>
      <c r="D29" s="34"/>
      <c r="E29" s="34"/>
      <c r="F29" s="34"/>
      <c r="G29" s="34"/>
      <c r="H29" s="34">
        <f>IFERROR(IF(B29="Column",INDEX(RadCompList!$C$4:$G$13,MATCH(C29,RadCompList!$B$4:$B$13),MATCH(Radiators!D29,RadCompList!$C$3:$G$3)),IF(B29="Tube",INDEX(RadCompList!$C$16:$I$22,MATCH(C29,RadCompList!$B$16:$B$22),MATCH(Radiators!D29,RadCompList!$C$15:$I$15)),IF(B29="Cast Rad/Conv",INDEX(RadCompList!$C$28:$D$28,MATCH(C29,RadCompList!$B$28),MATCH(Radiators!D29,RadCompList!$C$27:$D$27)),IF(B29="Copper Cabinet",(INDEX(RadCompList!$E$39:$J$78,MATCH(Radiators!D29,RadCompList!$D$39:$D$78,0),MATCH(C29,RadCompList!$E$38:$J$38,0))),0))))*E29,0)*$A$2</f>
        <v>0</v>
      </c>
      <c r="I29" s="34">
        <f t="shared" si="1"/>
        <v>0</v>
      </c>
      <c r="J29" s="35">
        <f>IFERROR(VLOOKUP(G29,VentList!$A$1:$D$198,2,FALSE),0)</f>
        <v>0</v>
      </c>
      <c r="K29" s="26">
        <f>IFERROR(VLOOKUP(B29,RadCompList!$P$3:$Q$6,2,FALSE)*H29,0)</f>
        <v>0</v>
      </c>
      <c r="L29" s="26" t="str">
        <f t="shared" si="4"/>
        <v>3/4</v>
      </c>
      <c r="M29" s="37">
        <f>Main!$G$8-0.0001306*N29^2 * F29*(1+3.6/VLOOKUP(L29,Calculations!$B$4:$F$15,2,FALSE))/(3600*Main!$C$7*VLOOKUP(L29,Calculations!$B$4:$F$15,2,FALSE)^5)</f>
        <v>0.14820436411902377</v>
      </c>
      <c r="N29" s="37">
        <f t="shared" si="2"/>
        <v>0</v>
      </c>
      <c r="O29" s="37">
        <f>IF(H29&lt;32,SteamProperties!$F$24*Radiators!F29,IF(H29&lt;56,SteamProperties!$F$25*Radiators!F29,SteamProperties!$F$26*Radiators!F29))</f>
        <v>0</v>
      </c>
      <c r="P29" s="37">
        <f>IF(H29&lt;32,Calculations!$F$5*Radiators!F29,IF(H29&lt;56,Calculations!$F$6*Radiators!F29,Calculations!$F$7*Radiators!F29))</f>
        <v>0</v>
      </c>
      <c r="Q29" s="37">
        <f t="shared" si="3"/>
        <v>0</v>
      </c>
    </row>
    <row r="30" spans="2:17">
      <c r="B30" s="33"/>
      <c r="C30" s="34"/>
      <c r="D30" s="34"/>
      <c r="E30" s="34"/>
      <c r="F30" s="34"/>
      <c r="G30" s="34"/>
      <c r="H30" s="34">
        <f>IFERROR(IF(B30="Column",INDEX(RadCompList!$C$4:$G$13,MATCH(C30,RadCompList!$B$4:$B$13),MATCH(Radiators!D30,RadCompList!$C$3:$G$3)),IF(B30="Tube",INDEX(RadCompList!$C$16:$I$22,MATCH(C30,RadCompList!$B$16:$B$22),MATCH(Radiators!D30,RadCompList!$C$15:$I$15)),IF(B30="Cast Rad/Conv",INDEX(RadCompList!$C$28:$D$28,MATCH(C30,RadCompList!$B$28),MATCH(Radiators!D30,RadCompList!$C$27:$D$27)),IF(B30="Copper Cabinet",(INDEX(RadCompList!$E$39:$J$78,MATCH(Radiators!D30,RadCompList!$D$39:$D$78,0),MATCH(C30,RadCompList!$E$38:$J$38,0))),0))))*E30,0)*$A$2</f>
        <v>0</v>
      </c>
      <c r="I30" s="34">
        <f t="shared" si="1"/>
        <v>0</v>
      </c>
      <c r="J30" s="35">
        <f>IFERROR(VLOOKUP(G30,VentList!$A$1:$D$198,2,FALSE),0)</f>
        <v>0</v>
      </c>
      <c r="K30" s="26">
        <f>IFERROR(VLOOKUP(B30,RadCompList!$P$3:$Q$6,2,FALSE)*H30,0)</f>
        <v>0</v>
      </c>
      <c r="L30" s="26" t="str">
        <f t="shared" si="4"/>
        <v>3/4</v>
      </c>
      <c r="M30" s="37">
        <f>Main!$G$8-0.0001306*N30^2 * F30*(1+3.6/VLOOKUP(L30,Calculations!$B$4:$F$15,2,FALSE))/(3600*Main!$C$7*VLOOKUP(L30,Calculations!$B$4:$F$15,2,FALSE)^5)</f>
        <v>0.14820436411902377</v>
      </c>
      <c r="N30" s="37">
        <f t="shared" si="2"/>
        <v>0</v>
      </c>
      <c r="O30" s="37">
        <f>IF(H30&lt;32,SteamProperties!$F$24*Radiators!F30,IF(H30&lt;56,SteamProperties!$F$25*Radiators!F30,SteamProperties!$F$26*Radiators!F30))</f>
        <v>0</v>
      </c>
      <c r="P30" s="37">
        <f>IF(H30&lt;32,Calculations!$F$5*Radiators!F30,IF(H30&lt;56,Calculations!$F$6*Radiators!F30,Calculations!$F$7*Radiators!F30))</f>
        <v>0</v>
      </c>
      <c r="Q30" s="37">
        <f t="shared" si="3"/>
        <v>0</v>
      </c>
    </row>
    <row r="31" spans="2:17">
      <c r="B31" s="33"/>
      <c r="C31" s="34"/>
      <c r="D31" s="34"/>
      <c r="E31" s="34"/>
      <c r="F31" s="34"/>
      <c r="G31" s="34"/>
      <c r="H31" s="34">
        <f>IFERROR(IF(B31="Column",INDEX(RadCompList!$C$4:$G$13,MATCH(C31,RadCompList!$B$4:$B$13),MATCH(Radiators!D31,RadCompList!$C$3:$G$3)),IF(B31="Tube",INDEX(RadCompList!$C$16:$I$22,MATCH(C31,RadCompList!$B$16:$B$22),MATCH(Radiators!D31,RadCompList!$C$15:$I$15)),IF(B31="Cast Rad/Conv",INDEX(RadCompList!$C$28:$D$28,MATCH(C31,RadCompList!$B$28),MATCH(Radiators!D31,RadCompList!$C$27:$D$27)),IF(B31="Copper Cabinet",(INDEX(RadCompList!$E$39:$J$78,MATCH(Radiators!D31,RadCompList!$D$39:$D$78,0),MATCH(C31,RadCompList!$E$38:$J$38,0))),0))))*E31,0)*$A$2</f>
        <v>0</v>
      </c>
      <c r="I31" s="34">
        <f t="shared" si="1"/>
        <v>0</v>
      </c>
      <c r="J31" s="35">
        <f>IFERROR(VLOOKUP(G31,VentList!$A$1:$D$198,2,FALSE),0)</f>
        <v>0</v>
      </c>
      <c r="K31" s="26">
        <f>IFERROR(VLOOKUP(B31,RadCompList!$P$3:$Q$6,2,FALSE)*H31,0)</f>
        <v>0</v>
      </c>
      <c r="L31" s="26" t="str">
        <f t="shared" si="4"/>
        <v>3/4</v>
      </c>
      <c r="M31" s="37">
        <f>Main!$G$8-0.0001306*N31^2 * F31*(1+3.6/VLOOKUP(L31,Calculations!$B$4:$F$15,2,FALSE))/(3600*Main!$C$7*VLOOKUP(L31,Calculations!$B$4:$F$15,2,FALSE)^5)</f>
        <v>0.14820436411902377</v>
      </c>
      <c r="N31" s="37">
        <f t="shared" si="2"/>
        <v>0</v>
      </c>
      <c r="O31" s="37">
        <f>IF(H31&lt;32,SteamProperties!$F$24*Radiators!F31,IF(H31&lt;56,SteamProperties!$F$25*Radiators!F31,SteamProperties!$F$26*Radiators!F31))</f>
        <v>0</v>
      </c>
      <c r="P31" s="37">
        <f>IF(H31&lt;32,Calculations!$F$5*Radiators!F31,IF(H31&lt;56,Calculations!$F$6*Radiators!F31,Calculations!$F$7*Radiators!F31))</f>
        <v>0</v>
      </c>
      <c r="Q31" s="37">
        <f t="shared" si="3"/>
        <v>0</v>
      </c>
    </row>
    <row r="32" spans="2:17">
      <c r="B32" s="33"/>
      <c r="C32" s="34"/>
      <c r="D32" s="34"/>
      <c r="E32" s="34"/>
      <c r="F32" s="34"/>
      <c r="G32" s="34"/>
      <c r="H32" s="34">
        <f>IFERROR(IF(B32="Column",INDEX(RadCompList!$C$4:$G$13,MATCH(C32,RadCompList!$B$4:$B$13),MATCH(Radiators!D32,RadCompList!$C$3:$G$3)),IF(B32="Tube",INDEX(RadCompList!$C$16:$I$22,MATCH(C32,RadCompList!$B$16:$B$22),MATCH(Radiators!D32,RadCompList!$C$15:$I$15)),IF(B32="Cast Rad/Conv",INDEX(RadCompList!$C$28:$D$28,MATCH(C32,RadCompList!$B$28),MATCH(Radiators!D32,RadCompList!$C$27:$D$27)),IF(B32="Copper Cabinet",(INDEX(RadCompList!$E$39:$J$78,MATCH(Radiators!D32,RadCompList!$D$39:$D$78,0),MATCH(C32,RadCompList!$E$38:$J$38,0))),0))))*E32,0)*$A$2</f>
        <v>0</v>
      </c>
      <c r="I32" s="34">
        <f t="shared" si="1"/>
        <v>0</v>
      </c>
      <c r="J32" s="35">
        <f>IFERROR(VLOOKUP(G32,VentList!$A$1:$D$198,2,FALSE),0)</f>
        <v>0</v>
      </c>
      <c r="K32" s="26">
        <f>IFERROR(VLOOKUP(B32,RadCompList!$P$3:$Q$6,2,FALSE)*H32,0)</f>
        <v>0</v>
      </c>
      <c r="L32" s="26" t="str">
        <f t="shared" si="4"/>
        <v>3/4</v>
      </c>
      <c r="M32" s="37">
        <f>Main!$G$8-0.0001306*N32^2 * F32*(1+3.6/VLOOKUP(L32,Calculations!$B$4:$F$15,2,FALSE))/(3600*Main!$C$7*VLOOKUP(L32,Calculations!$B$4:$F$15,2,FALSE)^5)</f>
        <v>0.14820436411902377</v>
      </c>
      <c r="N32" s="37">
        <f t="shared" si="2"/>
        <v>0</v>
      </c>
      <c r="O32" s="37">
        <f>IF(H32&lt;32,SteamProperties!$F$24*Radiators!F32,IF(H32&lt;56,SteamProperties!$F$25*Radiators!F32,SteamProperties!$F$26*Radiators!F32))</f>
        <v>0</v>
      </c>
      <c r="P32" s="37">
        <f>IF(H32&lt;32,Calculations!$F$5*Radiators!F32,IF(H32&lt;56,Calculations!$F$6*Radiators!F32,Calculations!$F$7*Radiators!F32))</f>
        <v>0</v>
      </c>
      <c r="Q32" s="37">
        <f t="shared" si="3"/>
        <v>0</v>
      </c>
    </row>
    <row r="33" spans="2:17">
      <c r="B33" s="33"/>
      <c r="C33" s="34"/>
      <c r="D33" s="34"/>
      <c r="E33" s="34"/>
      <c r="F33" s="34"/>
      <c r="G33" s="34"/>
      <c r="H33" s="34">
        <f>IFERROR(IF(B33="Column",INDEX(RadCompList!$C$4:$G$13,MATCH(C33,RadCompList!$B$4:$B$13),MATCH(Radiators!D33,RadCompList!$C$3:$G$3)),IF(B33="Tube",INDEX(RadCompList!$C$16:$I$22,MATCH(C33,RadCompList!$B$16:$B$22),MATCH(Radiators!D33,RadCompList!$C$15:$I$15)),IF(B33="Cast Rad/Conv",INDEX(RadCompList!$C$28:$D$28,MATCH(C33,RadCompList!$B$28),MATCH(Radiators!D33,RadCompList!$C$27:$D$27)),IF(B33="Copper Cabinet",(INDEX(RadCompList!$E$39:$J$78,MATCH(Radiators!D33,RadCompList!$D$39:$D$78,0),MATCH(C33,RadCompList!$E$38:$J$38,0))),0))))*E33,0)*$A$2</f>
        <v>0</v>
      </c>
      <c r="I33" s="34">
        <f t="shared" si="1"/>
        <v>0</v>
      </c>
      <c r="J33" s="35">
        <f>IFERROR(VLOOKUP(G33,VentList!$A$1:$D$198,2,FALSE),0)</f>
        <v>0</v>
      </c>
      <c r="K33" s="26">
        <f>IFERROR(VLOOKUP(B33,RadCompList!$P$3:$Q$6,2,FALSE)*H33,0)</f>
        <v>0</v>
      </c>
      <c r="L33" s="26" t="str">
        <f t="shared" si="4"/>
        <v>3/4</v>
      </c>
      <c r="M33" s="37">
        <f>Main!$G$8-0.0001306*N33^2 * F33*(1+3.6/VLOOKUP(L33,Calculations!$B$4:$F$15,2,FALSE))/(3600*Main!$C$7*VLOOKUP(L33,Calculations!$B$4:$F$15,2,FALSE)^5)</f>
        <v>0.14820436411902377</v>
      </c>
      <c r="N33" s="37">
        <f t="shared" si="2"/>
        <v>0</v>
      </c>
      <c r="O33" s="37">
        <f>IF(H33&lt;32,SteamProperties!$F$24*Radiators!F33,IF(H33&lt;56,SteamProperties!$F$25*Radiators!F33,SteamProperties!$F$26*Radiators!F33))</f>
        <v>0</v>
      </c>
      <c r="P33" s="37">
        <f>IF(H33&lt;32,Calculations!$F$5*Radiators!F33,IF(H33&lt;56,Calculations!$F$6*Radiators!F33,Calculations!$F$7*Radiators!F33))</f>
        <v>0</v>
      </c>
      <c r="Q33" s="37">
        <f t="shared" si="3"/>
        <v>0</v>
      </c>
    </row>
    <row r="34" spans="2:17">
      <c r="B34" s="33"/>
      <c r="C34" s="34"/>
      <c r="D34" s="34"/>
      <c r="E34" s="34"/>
      <c r="F34" s="34"/>
      <c r="G34" s="34"/>
      <c r="H34" s="34">
        <f>IFERROR(IF(B34="Column",INDEX(RadCompList!$C$4:$G$13,MATCH(C34,RadCompList!$B$4:$B$13),MATCH(Radiators!D34,RadCompList!$C$3:$G$3)),IF(B34="Tube",INDEX(RadCompList!$C$16:$I$22,MATCH(C34,RadCompList!$B$16:$B$22),MATCH(Radiators!D34,RadCompList!$C$15:$I$15)),IF(B34="Cast Rad/Conv",INDEX(RadCompList!$C$28:$D$28,MATCH(C34,RadCompList!$B$28),MATCH(Radiators!D34,RadCompList!$C$27:$D$27)),IF(B34="Copper Cabinet",(INDEX(RadCompList!$E$39:$J$78,MATCH(Radiators!D34,RadCompList!$D$39:$D$78,0),MATCH(C34,RadCompList!$E$38:$J$38,0))),0))))*E34,0)*$A$2</f>
        <v>0</v>
      </c>
      <c r="I34" s="34">
        <f t="shared" si="1"/>
        <v>0</v>
      </c>
      <c r="J34" s="35">
        <f>IFERROR(VLOOKUP(G34,VentList!$A$1:$D$198,2,FALSE),0)</f>
        <v>0</v>
      </c>
      <c r="K34" s="26">
        <f>IFERROR(VLOOKUP(B34,RadCompList!$P$3:$Q$6,2,FALSE)*H34,0)</f>
        <v>0</v>
      </c>
      <c r="L34" s="26" t="str">
        <f t="shared" si="4"/>
        <v>3/4</v>
      </c>
      <c r="M34" s="37">
        <f>Main!$G$8-0.0001306*N34^2 * F34*(1+3.6/VLOOKUP(L34,Calculations!$B$4:$F$15,2,FALSE))/(3600*Main!$C$7*VLOOKUP(L34,Calculations!$B$4:$F$15,2,FALSE)^5)</f>
        <v>0.14820436411902377</v>
      </c>
      <c r="N34" s="37">
        <f t="shared" si="2"/>
        <v>0</v>
      </c>
      <c r="O34" s="37">
        <f>IF(H34&lt;32,SteamProperties!$F$24*Radiators!F34,IF(H34&lt;56,SteamProperties!$F$25*Radiators!F34,SteamProperties!$F$26*Radiators!F34))</f>
        <v>0</v>
      </c>
      <c r="P34" s="37">
        <f>IF(H34&lt;32,Calculations!$F$5*Radiators!F34,IF(H34&lt;56,Calculations!$F$6*Radiators!F34,Calculations!$F$7*Radiators!F34))</f>
        <v>0</v>
      </c>
      <c r="Q34" s="37">
        <f t="shared" si="3"/>
        <v>0</v>
      </c>
    </row>
    <row r="35" spans="2:17">
      <c r="B35" s="33"/>
      <c r="C35" s="34"/>
      <c r="D35" s="34"/>
      <c r="E35" s="34"/>
      <c r="F35" s="34"/>
      <c r="G35" s="34"/>
      <c r="H35" s="34">
        <f>IFERROR(IF(B35="Column",INDEX(RadCompList!$C$4:$G$13,MATCH(C35,RadCompList!$B$4:$B$13),MATCH(Radiators!D35,RadCompList!$C$3:$G$3)),IF(B35="Tube",INDEX(RadCompList!$C$16:$I$22,MATCH(C35,RadCompList!$B$16:$B$22),MATCH(Radiators!D35,RadCompList!$C$15:$I$15)),IF(B35="Cast Rad/Conv",INDEX(RadCompList!$C$28:$D$28,MATCH(C35,RadCompList!$B$28),MATCH(Radiators!D35,RadCompList!$C$27:$D$27)),IF(B35="Copper Cabinet",(INDEX(RadCompList!$E$39:$J$78,MATCH(Radiators!D35,RadCompList!$D$39:$D$78,0),MATCH(C35,RadCompList!$E$38:$J$38,0))),0))))*E35,0)*$A$2</f>
        <v>0</v>
      </c>
      <c r="I35" s="34">
        <f t="shared" si="1"/>
        <v>0</v>
      </c>
      <c r="J35" s="35">
        <f>IFERROR(VLOOKUP(G35,VentList!$A$1:$D$198,2,FALSE),0)</f>
        <v>0</v>
      </c>
      <c r="K35" s="26">
        <f>IFERROR(VLOOKUP(B35,RadCompList!$P$3:$Q$6,2,FALSE)*H35,0)</f>
        <v>0</v>
      </c>
      <c r="L35" s="26" t="str">
        <f t="shared" si="4"/>
        <v>3/4</v>
      </c>
      <c r="M35" s="37">
        <f>Main!$G$8-0.0001306*N35^2 * F35*(1+3.6/VLOOKUP(L35,Calculations!$B$4:$F$15,2,FALSE))/(3600*Main!$C$7*VLOOKUP(L35,Calculations!$B$4:$F$15,2,FALSE)^5)</f>
        <v>0.14820436411902377</v>
      </c>
      <c r="N35" s="37">
        <f t="shared" si="2"/>
        <v>0</v>
      </c>
      <c r="O35" s="37">
        <f>IF(H35&lt;32,SteamProperties!$F$24*Radiators!F35,IF(H35&lt;56,SteamProperties!$F$25*Radiators!F35,SteamProperties!$F$26*Radiators!F35))</f>
        <v>0</v>
      </c>
      <c r="P35" s="37">
        <f>IF(H35&lt;32,Calculations!$F$5*Radiators!F35,IF(H35&lt;56,Calculations!$F$6*Radiators!F35,Calculations!$F$7*Radiators!F35))</f>
        <v>0</v>
      </c>
      <c r="Q35" s="37">
        <f t="shared" si="3"/>
        <v>0</v>
      </c>
    </row>
    <row r="36" spans="2:17">
      <c r="B36" s="33"/>
      <c r="C36" s="34"/>
      <c r="D36" s="34"/>
      <c r="E36" s="34"/>
      <c r="F36" s="34"/>
      <c r="G36" s="34"/>
      <c r="H36" s="34">
        <f>IFERROR(IF(B36="Column",INDEX(RadCompList!$C$4:$G$13,MATCH(C36,RadCompList!$B$4:$B$13),MATCH(Radiators!D36,RadCompList!$C$3:$G$3)),IF(B36="Tube",INDEX(RadCompList!$C$16:$I$22,MATCH(C36,RadCompList!$B$16:$B$22),MATCH(Radiators!D36,RadCompList!$C$15:$I$15)),IF(B36="Cast Rad/Conv",INDEX(RadCompList!$C$28:$D$28,MATCH(C36,RadCompList!$B$28),MATCH(Radiators!D36,RadCompList!$C$27:$D$27)),IF(B36="Copper Cabinet",(INDEX(RadCompList!$E$39:$J$78,MATCH(Radiators!D36,RadCompList!$D$39:$D$78,0),MATCH(C36,RadCompList!$E$38:$J$38,0))),0))))*E36,0)*$A$2</f>
        <v>0</v>
      </c>
      <c r="I36" s="34">
        <f t="shared" si="1"/>
        <v>0</v>
      </c>
      <c r="J36" s="35">
        <f>IFERROR(VLOOKUP(G36,VentList!$A$1:$D$198,2,FALSE),0)</f>
        <v>0</v>
      </c>
      <c r="K36" s="26">
        <f>IFERROR(VLOOKUP(B36,RadCompList!$P$3:$Q$6,2,FALSE)*H36,0)</f>
        <v>0</v>
      </c>
      <c r="L36" s="26" t="str">
        <f t="shared" si="4"/>
        <v>3/4</v>
      </c>
      <c r="M36" s="37">
        <f>Main!$G$8-0.0001306*N36^2 * F36*(1+3.6/VLOOKUP(L36,Calculations!$B$4:$F$15,2,FALSE))/(3600*Main!$C$7*VLOOKUP(L36,Calculations!$B$4:$F$15,2,FALSE)^5)</f>
        <v>0.14820436411902377</v>
      </c>
      <c r="N36" s="37">
        <f t="shared" si="2"/>
        <v>0</v>
      </c>
      <c r="O36" s="37">
        <f>IF(H36&lt;32,SteamProperties!$F$24*Radiators!F36,IF(H36&lt;56,SteamProperties!$F$25*Radiators!F36,SteamProperties!$F$26*Radiators!F36))</f>
        <v>0</v>
      </c>
      <c r="P36" s="37">
        <f>IF(H36&lt;32,Calculations!$F$5*Radiators!F36,IF(H36&lt;56,Calculations!$F$6*Radiators!F36,Calculations!$F$7*Radiators!F36))</f>
        <v>0</v>
      </c>
      <c r="Q36" s="37">
        <f t="shared" si="3"/>
        <v>0</v>
      </c>
    </row>
    <row r="37" spans="2:17">
      <c r="B37" s="33"/>
      <c r="C37" s="34"/>
      <c r="D37" s="34"/>
      <c r="E37" s="34"/>
      <c r="F37" s="34"/>
      <c r="G37" s="34"/>
      <c r="H37" s="34">
        <f>IFERROR(IF(B37="Column",INDEX(RadCompList!$C$4:$G$13,MATCH(C37,RadCompList!$B$4:$B$13),MATCH(Radiators!D37,RadCompList!$C$3:$G$3)),IF(B37="Tube",INDEX(RadCompList!$C$16:$I$22,MATCH(C37,RadCompList!$B$16:$B$22),MATCH(Radiators!D37,RadCompList!$C$15:$I$15)),IF(B37="Cast Rad/Conv",INDEX(RadCompList!$C$28:$D$28,MATCH(C37,RadCompList!$B$28),MATCH(Radiators!D37,RadCompList!$C$27:$D$27)),IF(B37="Copper Cabinet",(INDEX(RadCompList!$E$39:$J$78,MATCH(Radiators!D37,RadCompList!$D$39:$D$78,0),MATCH(C37,RadCompList!$E$38:$J$38,0))),0))))*E37,0)*$A$2</f>
        <v>0</v>
      </c>
      <c r="I37" s="34">
        <f t="shared" si="1"/>
        <v>0</v>
      </c>
      <c r="J37" s="35">
        <f>IFERROR(VLOOKUP(G37,VentList!$A$1:$D$198,2,FALSE),0)</f>
        <v>0</v>
      </c>
      <c r="K37" s="26">
        <f>IFERROR(VLOOKUP(B37,RadCompList!$P$3:$Q$6,2,FALSE)*H37,0)</f>
        <v>0</v>
      </c>
      <c r="L37" s="26" t="str">
        <f t="shared" si="4"/>
        <v>3/4</v>
      </c>
      <c r="M37" s="37">
        <f>Main!$G$8-0.0001306*N37^2 * F37*(1+3.6/VLOOKUP(L37,Calculations!$B$4:$F$15,2,FALSE))/(3600*Main!$C$7*VLOOKUP(L37,Calculations!$B$4:$F$15,2,FALSE)^5)</f>
        <v>0.14820436411902377</v>
      </c>
      <c r="N37" s="37">
        <f t="shared" si="2"/>
        <v>0</v>
      </c>
      <c r="O37" s="37">
        <f>IF(H37&lt;32,SteamProperties!$F$24*Radiators!F37,IF(H37&lt;56,SteamProperties!$F$25*Radiators!F37,SteamProperties!$F$26*Radiators!F37))</f>
        <v>0</v>
      </c>
      <c r="P37" s="37">
        <f>IF(H37&lt;32,Calculations!$F$5*Radiators!F37,IF(H37&lt;56,Calculations!$F$6*Radiators!F37,Calculations!$F$7*Radiators!F37))</f>
        <v>0</v>
      </c>
      <c r="Q37" s="37">
        <f t="shared" si="3"/>
        <v>0</v>
      </c>
    </row>
    <row r="38" spans="2:17">
      <c r="B38" s="33"/>
      <c r="C38" s="34"/>
      <c r="D38" s="34"/>
      <c r="E38" s="34"/>
      <c r="F38" s="34"/>
      <c r="G38" s="34"/>
      <c r="H38" s="34">
        <f>IFERROR(IF(B38="Column",INDEX(RadCompList!$C$4:$G$13,MATCH(C38,RadCompList!$B$4:$B$13),MATCH(Radiators!D38,RadCompList!$C$3:$G$3)),IF(B38="Tube",INDEX(RadCompList!$C$16:$I$22,MATCH(C38,RadCompList!$B$16:$B$22),MATCH(Radiators!D38,RadCompList!$C$15:$I$15)),IF(B38="Cast Rad/Conv",INDEX(RadCompList!$C$28:$D$28,MATCH(C38,RadCompList!$B$28),MATCH(Radiators!D38,RadCompList!$C$27:$D$27)),IF(B38="Copper Cabinet",(INDEX(RadCompList!$E$39:$J$78,MATCH(Radiators!D38,RadCompList!$D$39:$D$78,0),MATCH(C38,RadCompList!$E$38:$J$38,0))),0))))*E38,0)*$A$2</f>
        <v>0</v>
      </c>
      <c r="I38" s="34">
        <f t="shared" si="1"/>
        <v>0</v>
      </c>
      <c r="J38" s="35">
        <f>IFERROR(VLOOKUP(G38,VentList!$A$1:$D$198,2,FALSE),0)</f>
        <v>0</v>
      </c>
      <c r="K38" s="26">
        <f>IFERROR(VLOOKUP(B38,RadCompList!$P$3:$Q$6,2,FALSE)*H38,0)</f>
        <v>0</v>
      </c>
      <c r="L38" s="26" t="str">
        <f t="shared" si="4"/>
        <v>3/4</v>
      </c>
      <c r="M38" s="37">
        <f>Main!$G$8-0.0001306*N38^2 * F38*(1+3.6/VLOOKUP(L38,Calculations!$B$4:$F$15,2,FALSE))/(3600*Main!$C$7*VLOOKUP(L38,Calculations!$B$4:$F$15,2,FALSE)^5)</f>
        <v>0.14820436411902377</v>
      </c>
      <c r="N38" s="37">
        <f t="shared" si="2"/>
        <v>0</v>
      </c>
      <c r="O38" s="37">
        <f>IF(H38&lt;32,SteamProperties!$F$24*Radiators!F38,IF(H38&lt;56,SteamProperties!$F$25*Radiators!F38,SteamProperties!$F$26*Radiators!F38))</f>
        <v>0</v>
      </c>
      <c r="P38" s="37">
        <f>IF(H38&lt;32,Calculations!$F$5*Radiators!F38,IF(H38&lt;56,Calculations!$F$6*Radiators!F38,Calculations!$F$7*Radiators!F38))</f>
        <v>0</v>
      </c>
      <c r="Q38" s="37">
        <f t="shared" si="3"/>
        <v>0</v>
      </c>
    </row>
    <row r="39" spans="2:17">
      <c r="B39" s="33"/>
      <c r="C39" s="34"/>
      <c r="D39" s="34"/>
      <c r="E39" s="34"/>
      <c r="F39" s="34"/>
      <c r="G39" s="34"/>
      <c r="H39" s="34">
        <f>IFERROR(IF(B39="Column",INDEX(RadCompList!$C$4:$G$13,MATCH(C39,RadCompList!$B$4:$B$13),MATCH(Radiators!D39,RadCompList!$C$3:$G$3)),IF(B39="Tube",INDEX(RadCompList!$C$16:$I$22,MATCH(C39,RadCompList!$B$16:$B$22),MATCH(Radiators!D39,RadCompList!$C$15:$I$15)),IF(B39="Cast Rad/Conv",INDEX(RadCompList!$C$28:$D$28,MATCH(C39,RadCompList!$B$28),MATCH(Radiators!D39,RadCompList!$C$27:$D$27)),IF(B39="Copper Cabinet",(INDEX(RadCompList!$E$39:$J$78,MATCH(Radiators!D39,RadCompList!$D$39:$D$78,0),MATCH(C39,RadCompList!$E$38:$J$38,0))),0))))*E39,0)*$A$2</f>
        <v>0</v>
      </c>
      <c r="I39" s="34">
        <f t="shared" si="1"/>
        <v>0</v>
      </c>
      <c r="J39" s="35">
        <f>IFERROR(VLOOKUP(G39,VentList!$A$1:$D$198,2,FALSE),0)</f>
        <v>0</v>
      </c>
      <c r="K39" s="26">
        <f>IFERROR(VLOOKUP(B39,RadCompList!$P$3:$Q$6,2,FALSE)*H39,0)</f>
        <v>0</v>
      </c>
      <c r="L39" s="26" t="str">
        <f t="shared" si="4"/>
        <v>3/4</v>
      </c>
      <c r="M39" s="37">
        <f>Main!$G$8-0.0001306*N39^2 * F39*(1+3.6/VLOOKUP(L39,Calculations!$B$4:$F$15,2,FALSE))/(3600*Main!$C$7*VLOOKUP(L39,Calculations!$B$4:$F$15,2,FALSE)^5)</f>
        <v>0.14820436411902377</v>
      </c>
      <c r="N39" s="37">
        <f t="shared" si="2"/>
        <v>0</v>
      </c>
      <c r="O39" s="37">
        <f>IF(H39&lt;32,SteamProperties!$F$24*Radiators!F39,IF(H39&lt;56,SteamProperties!$F$25*Radiators!F39,SteamProperties!$F$26*Radiators!F39))</f>
        <v>0</v>
      </c>
      <c r="P39" s="37">
        <f>IF(H39&lt;32,Calculations!$F$5*Radiators!F39,IF(H39&lt;56,Calculations!$F$6*Radiators!F39,Calculations!$F$7*Radiators!F39))</f>
        <v>0</v>
      </c>
      <c r="Q39" s="37">
        <f t="shared" si="3"/>
        <v>0</v>
      </c>
    </row>
    <row r="40" spans="2:17">
      <c r="B40" s="33"/>
      <c r="C40" s="34"/>
      <c r="D40" s="34"/>
      <c r="E40" s="34"/>
      <c r="F40" s="34"/>
      <c r="G40" s="34"/>
      <c r="H40" s="34">
        <f>IFERROR(IF(B40="Column",INDEX(RadCompList!$C$4:$G$13,MATCH(C40,RadCompList!$B$4:$B$13),MATCH(Radiators!D40,RadCompList!$C$3:$G$3)),IF(B40="Tube",INDEX(RadCompList!$C$16:$I$22,MATCH(C40,RadCompList!$B$16:$B$22),MATCH(Radiators!D40,RadCompList!$C$15:$I$15)),IF(B40="Cast Rad/Conv",INDEX(RadCompList!$C$28:$D$28,MATCH(C40,RadCompList!$B$28),MATCH(Radiators!D40,RadCompList!$C$27:$D$27)),IF(B40="Copper Cabinet",(INDEX(RadCompList!$E$39:$J$78,MATCH(Radiators!D40,RadCompList!$D$39:$D$78,0),MATCH(C40,RadCompList!$E$38:$J$38,0))),0))))*E40,0)*$A$2</f>
        <v>0</v>
      </c>
      <c r="I40" s="34">
        <f t="shared" si="1"/>
        <v>0</v>
      </c>
      <c r="J40" s="35">
        <f>IFERROR(VLOOKUP(G40,VentList!$A$1:$D$198,2,FALSE),0)</f>
        <v>0</v>
      </c>
      <c r="K40" s="26">
        <f>IFERROR(VLOOKUP(B40,RadCompList!$P$3:$Q$6,2,FALSE)*H40,0)</f>
        <v>0</v>
      </c>
      <c r="L40" s="26" t="str">
        <f t="shared" si="4"/>
        <v>3/4</v>
      </c>
      <c r="M40" s="37">
        <f>Main!$G$8-0.0001306*N40^2 * F40*(1+3.6/VLOOKUP(L40,Calculations!$B$4:$F$15,2,FALSE))/(3600*Main!$C$7*VLOOKUP(L40,Calculations!$B$4:$F$15,2,FALSE)^5)</f>
        <v>0.14820436411902377</v>
      </c>
      <c r="N40" s="37">
        <f t="shared" si="2"/>
        <v>0</v>
      </c>
      <c r="O40" s="37">
        <f>IF(H40&lt;32,SteamProperties!$F$24*Radiators!F40,IF(H40&lt;56,SteamProperties!$F$25*Radiators!F40,SteamProperties!$F$26*Radiators!F40))</f>
        <v>0</v>
      </c>
      <c r="P40" s="37">
        <f>IF(H40&lt;32,Calculations!$F$5*Radiators!F40,IF(H40&lt;56,Calculations!$F$6*Radiators!F40,Calculations!$F$7*Radiators!F40))</f>
        <v>0</v>
      </c>
      <c r="Q40" s="37">
        <f t="shared" si="3"/>
        <v>0</v>
      </c>
    </row>
    <row r="41" spans="2:17">
      <c r="B41" s="33"/>
      <c r="C41" s="34"/>
      <c r="D41" s="34"/>
      <c r="E41" s="34"/>
      <c r="F41" s="34"/>
      <c r="G41" s="34"/>
      <c r="H41" s="34">
        <f>IFERROR(IF(B41="Column",INDEX(RadCompList!$C$4:$G$13,MATCH(C41,RadCompList!$B$4:$B$13),MATCH(Radiators!D41,RadCompList!$C$3:$G$3)),IF(B41="Tube",INDEX(RadCompList!$C$16:$I$22,MATCH(C41,RadCompList!$B$16:$B$22),MATCH(Radiators!D41,RadCompList!$C$15:$I$15)),IF(B41="Cast Rad/Conv",INDEX(RadCompList!$C$28:$D$28,MATCH(C41,RadCompList!$B$28),MATCH(Radiators!D41,RadCompList!$C$27:$D$27)),IF(B41="Copper Cabinet",(INDEX(RadCompList!$E$39:$J$78,MATCH(Radiators!D41,RadCompList!$D$39:$D$78,0),MATCH(C41,RadCompList!$E$38:$J$38,0))),0))))*E41,0)*$A$2</f>
        <v>0</v>
      </c>
      <c r="I41" s="34">
        <f t="shared" si="1"/>
        <v>0</v>
      </c>
      <c r="J41" s="35">
        <f>IFERROR(VLOOKUP(G41,VentList!$A$1:$D$198,2,FALSE),0)</f>
        <v>0</v>
      </c>
      <c r="K41" s="26">
        <f>IFERROR(VLOOKUP(B41,RadCompList!$P$3:$Q$6,2,FALSE)*H41,0)</f>
        <v>0</v>
      </c>
      <c r="L41" s="26" t="str">
        <f t="shared" si="4"/>
        <v>3/4</v>
      </c>
      <c r="M41" s="37">
        <f>Main!$G$8-0.0001306*N41^2 * F41*(1+3.6/VLOOKUP(L41,Calculations!$B$4:$F$15,2,FALSE))/(3600*Main!$C$7*VLOOKUP(L41,Calculations!$B$4:$F$15,2,FALSE)^5)</f>
        <v>0.14820436411902377</v>
      </c>
      <c r="N41" s="37">
        <f t="shared" si="2"/>
        <v>0</v>
      </c>
      <c r="O41" s="37">
        <f>IF(H41&lt;32,SteamProperties!$F$24*Radiators!F41,IF(H41&lt;56,SteamProperties!$F$25*Radiators!F41,SteamProperties!$F$26*Radiators!F41))</f>
        <v>0</v>
      </c>
      <c r="P41" s="37">
        <f>IF(H41&lt;32,Calculations!$F$5*Radiators!F41,IF(H41&lt;56,Calculations!$F$6*Radiators!F41,Calculations!$F$7*Radiators!F41))</f>
        <v>0</v>
      </c>
      <c r="Q41" s="37">
        <f t="shared" si="3"/>
        <v>0</v>
      </c>
    </row>
    <row r="42" spans="2:17">
      <c r="B42" s="33"/>
      <c r="C42" s="34"/>
      <c r="D42" s="34"/>
      <c r="E42" s="34"/>
      <c r="F42" s="34"/>
      <c r="G42" s="34"/>
      <c r="H42" s="34">
        <f>IFERROR(IF(B42="Column",INDEX(RadCompList!$C$4:$G$13,MATCH(C42,RadCompList!$B$4:$B$13),MATCH(Radiators!D42,RadCompList!$C$3:$G$3)),IF(B42="Tube",INDEX(RadCompList!$C$16:$I$22,MATCH(C42,RadCompList!$B$16:$B$22),MATCH(Radiators!D42,RadCompList!$C$15:$I$15)),IF(B42="Cast Rad/Conv",INDEX(RadCompList!$C$28:$D$28,MATCH(C42,RadCompList!$B$28),MATCH(Radiators!D42,RadCompList!$C$27:$D$27)),IF(B42="Copper Cabinet",(INDEX(RadCompList!$E$39:$J$78,MATCH(Radiators!D42,RadCompList!$D$39:$D$78,0),MATCH(C42,RadCompList!$E$38:$J$38,0))),0))))*E42,0)*$A$2</f>
        <v>0</v>
      </c>
      <c r="I42" s="34">
        <f t="shared" si="1"/>
        <v>0</v>
      </c>
      <c r="J42" s="35">
        <f>IFERROR(VLOOKUP(G42,VentList!$A$1:$D$198,2,FALSE),0)</f>
        <v>0</v>
      </c>
      <c r="K42" s="26">
        <f>IFERROR(VLOOKUP(B42,RadCompList!$P$3:$Q$6,2,FALSE)*H42,0)</f>
        <v>0</v>
      </c>
      <c r="L42" s="26" t="str">
        <f t="shared" si="4"/>
        <v>3/4</v>
      </c>
      <c r="M42" s="37">
        <f>Main!$G$8-0.0001306*N42^2 * F42*(1+3.6/VLOOKUP(L42,Calculations!$B$4:$F$15,2,FALSE))/(3600*Main!$C$7*VLOOKUP(L42,Calculations!$B$4:$F$15,2,FALSE)^5)</f>
        <v>0.14820436411902377</v>
      </c>
      <c r="N42" s="37">
        <f t="shared" si="2"/>
        <v>0</v>
      </c>
      <c r="O42" s="37">
        <f>IF(H42&lt;32,SteamProperties!$F$24*Radiators!F42,IF(H42&lt;56,SteamProperties!$F$25*Radiators!F42,SteamProperties!$F$26*Radiators!F42))</f>
        <v>0</v>
      </c>
      <c r="P42" s="37">
        <f>IF(H42&lt;32,Calculations!$F$5*Radiators!F42,IF(H42&lt;56,Calculations!$F$6*Radiators!F42,Calculations!$F$7*Radiators!F42))</f>
        <v>0</v>
      </c>
      <c r="Q42" s="37">
        <f t="shared" si="3"/>
        <v>0</v>
      </c>
    </row>
    <row r="43" spans="2:17">
      <c r="B43" s="33"/>
      <c r="C43" s="34"/>
      <c r="D43" s="34"/>
      <c r="E43" s="34"/>
      <c r="F43" s="34"/>
      <c r="G43" s="34"/>
      <c r="H43" s="34">
        <f>IFERROR(IF(B43="Column",INDEX(RadCompList!$C$4:$G$13,MATCH(C43,RadCompList!$B$4:$B$13),MATCH(Radiators!D43,RadCompList!$C$3:$G$3)),IF(B43="Tube",INDEX(RadCompList!$C$16:$I$22,MATCH(C43,RadCompList!$B$16:$B$22),MATCH(Radiators!D43,RadCompList!$C$15:$I$15)),IF(B43="Cast Rad/Conv",INDEX(RadCompList!$C$28:$D$28,MATCH(C43,RadCompList!$B$28),MATCH(Radiators!D43,RadCompList!$C$27:$D$27)),IF(B43="Copper Cabinet",(INDEX(RadCompList!$E$39:$J$78,MATCH(Radiators!D43,RadCompList!$D$39:$D$78,0),MATCH(C43,RadCompList!$E$38:$J$38,0))),0))))*E43,0)*$A$2</f>
        <v>0</v>
      </c>
      <c r="I43" s="34">
        <f t="shared" si="1"/>
        <v>0</v>
      </c>
      <c r="J43" s="35">
        <f>IFERROR(VLOOKUP(G43,VentList!$A$1:$D$198,2,FALSE),0)</f>
        <v>0</v>
      </c>
      <c r="K43" s="26">
        <f>IFERROR(VLOOKUP(B43,RadCompList!$P$3:$Q$6,2,FALSE)*H43,0)</f>
        <v>0</v>
      </c>
      <c r="L43" s="26" t="str">
        <f t="shared" si="4"/>
        <v>3/4</v>
      </c>
      <c r="M43" s="37">
        <f>Main!$G$8-0.0001306*N43^2 * F43*(1+3.6/VLOOKUP(L43,Calculations!$B$4:$F$15,2,FALSE))/(3600*Main!$C$7*VLOOKUP(L43,Calculations!$B$4:$F$15,2,FALSE)^5)</f>
        <v>0.14820436411902377</v>
      </c>
      <c r="N43" s="37">
        <f t="shared" si="2"/>
        <v>0</v>
      </c>
      <c r="O43" s="37">
        <f>IF(H43&lt;32,SteamProperties!$F$24*Radiators!F43,IF(H43&lt;56,SteamProperties!$F$25*Radiators!F43,SteamProperties!$F$26*Radiators!F43))</f>
        <v>0</v>
      </c>
      <c r="P43" s="37">
        <f>IF(H43&lt;32,Calculations!$F$5*Radiators!F43,IF(H43&lt;56,Calculations!$F$6*Radiators!F43,Calculations!$F$7*Radiators!F43))</f>
        <v>0</v>
      </c>
      <c r="Q43" s="37">
        <f t="shared" si="3"/>
        <v>0</v>
      </c>
    </row>
    <row r="44" spans="2:17">
      <c r="B44" s="33"/>
      <c r="C44" s="34"/>
      <c r="D44" s="34"/>
      <c r="E44" s="34"/>
      <c r="F44" s="34"/>
      <c r="G44" s="34"/>
      <c r="H44" s="34">
        <f>IFERROR(IF(B44="Column",INDEX(RadCompList!$C$4:$G$13,MATCH(C44,RadCompList!$B$4:$B$13),MATCH(Radiators!D44,RadCompList!$C$3:$G$3)),IF(B44="Tube",INDEX(RadCompList!$C$16:$I$22,MATCH(C44,RadCompList!$B$16:$B$22),MATCH(Radiators!D44,RadCompList!$C$15:$I$15)),IF(B44="Cast Rad/Conv",INDEX(RadCompList!$C$28:$D$28,MATCH(C44,RadCompList!$B$28),MATCH(Radiators!D44,RadCompList!$C$27:$D$27)),IF(B44="Copper Cabinet",(INDEX(RadCompList!$E$39:$J$78,MATCH(Radiators!D44,RadCompList!$D$39:$D$78,0),MATCH(C44,RadCompList!$E$38:$J$38,0))),0))))*E44,0)*$A$2</f>
        <v>0</v>
      </c>
      <c r="I44" s="34">
        <f t="shared" si="1"/>
        <v>0</v>
      </c>
      <c r="J44" s="35">
        <f>IFERROR(VLOOKUP(G44,VentList!$A$1:$D$198,2,FALSE),0)</f>
        <v>0</v>
      </c>
      <c r="K44" s="26">
        <f>IFERROR(VLOOKUP(B44,RadCompList!$P$3:$Q$6,2,FALSE)*H44,0)</f>
        <v>0</v>
      </c>
      <c r="L44" s="26" t="str">
        <f t="shared" si="4"/>
        <v>3/4</v>
      </c>
      <c r="M44" s="37">
        <f>Main!$G$8-0.0001306*N44^2 * F44*(1+3.6/VLOOKUP(L44,Calculations!$B$4:$F$15,2,FALSE))/(3600*Main!$C$7*VLOOKUP(L44,Calculations!$B$4:$F$15,2,FALSE)^5)</f>
        <v>0.14820436411902377</v>
      </c>
      <c r="N44" s="37">
        <f t="shared" si="2"/>
        <v>0</v>
      </c>
      <c r="O44" s="37">
        <f>IF(H44&lt;32,SteamProperties!$F$24*Radiators!F44,IF(H44&lt;56,SteamProperties!$F$25*Radiators!F44,SteamProperties!$F$26*Radiators!F44))</f>
        <v>0</v>
      </c>
      <c r="P44" s="37">
        <f>IF(H44&lt;32,Calculations!$F$5*Radiators!F44,IF(H44&lt;56,Calculations!$F$6*Radiators!F44,Calculations!$F$7*Radiators!F44))</f>
        <v>0</v>
      </c>
      <c r="Q44" s="37">
        <f t="shared" si="3"/>
        <v>0</v>
      </c>
    </row>
    <row r="45" spans="2:17">
      <c r="B45" s="33"/>
      <c r="C45" s="34"/>
      <c r="D45" s="34"/>
      <c r="E45" s="34"/>
      <c r="F45" s="34"/>
      <c r="G45" s="34"/>
      <c r="H45" s="34">
        <f>IFERROR(IF(B45="Column",INDEX(RadCompList!$C$4:$G$13,MATCH(C45,RadCompList!$B$4:$B$13),MATCH(Radiators!D45,RadCompList!$C$3:$G$3)),IF(B45="Tube",INDEX(RadCompList!$C$16:$I$22,MATCH(C45,RadCompList!$B$16:$B$22),MATCH(Radiators!D45,RadCompList!$C$15:$I$15)),IF(B45="Cast Rad/Conv",INDEX(RadCompList!$C$28:$D$28,MATCH(C45,RadCompList!$B$28),MATCH(Radiators!D45,RadCompList!$C$27:$D$27)),IF(B45="Copper Cabinet",(INDEX(RadCompList!$E$39:$J$78,MATCH(Radiators!D45,RadCompList!$D$39:$D$78,0),MATCH(C45,RadCompList!$E$38:$J$38,0))),0))))*E45,0)*$A$2</f>
        <v>0</v>
      </c>
      <c r="I45" s="34">
        <f t="shared" si="1"/>
        <v>0</v>
      </c>
      <c r="J45" s="35">
        <f>IFERROR(VLOOKUP(G45,VentList!$A$1:$D$198,2,FALSE),0)</f>
        <v>0</v>
      </c>
      <c r="K45" s="26">
        <f>IFERROR(VLOOKUP(B45,RadCompList!$P$3:$Q$6,2,FALSE)*H45,0)</f>
        <v>0</v>
      </c>
      <c r="L45" s="26" t="str">
        <f t="shared" si="4"/>
        <v>3/4</v>
      </c>
      <c r="M45" s="37">
        <f>Main!$G$8-0.0001306*N45^2 * F45*(1+3.6/VLOOKUP(L45,Calculations!$B$4:$F$15,2,FALSE))/(3600*Main!$C$7*VLOOKUP(L45,Calculations!$B$4:$F$15,2,FALSE)^5)</f>
        <v>0.14820436411902377</v>
      </c>
      <c r="N45" s="37">
        <f t="shared" si="2"/>
        <v>0</v>
      </c>
      <c r="O45" s="37">
        <f>IF(H45&lt;32,SteamProperties!$F$24*Radiators!F45,IF(H45&lt;56,SteamProperties!$F$25*Radiators!F45,SteamProperties!$F$26*Radiators!F45))</f>
        <v>0</v>
      </c>
      <c r="P45" s="37">
        <f>IF(H45&lt;32,Calculations!$F$5*Radiators!F45,IF(H45&lt;56,Calculations!$F$6*Radiators!F45,Calculations!$F$7*Radiators!F45))</f>
        <v>0</v>
      </c>
      <c r="Q45" s="37">
        <f t="shared" si="3"/>
        <v>0</v>
      </c>
    </row>
    <row r="46" spans="2:17">
      <c r="B46" s="33"/>
      <c r="C46" s="34"/>
      <c r="D46" s="34"/>
      <c r="E46" s="34"/>
      <c r="F46" s="34"/>
      <c r="G46" s="34"/>
      <c r="H46" s="34">
        <f>IFERROR(IF(B46="Column",INDEX(RadCompList!$C$4:$G$13,MATCH(C46,RadCompList!$B$4:$B$13),MATCH(Radiators!D46,RadCompList!$C$3:$G$3)),IF(B46="Tube",INDEX(RadCompList!$C$16:$I$22,MATCH(C46,RadCompList!$B$16:$B$22),MATCH(Radiators!D46,RadCompList!$C$15:$I$15)),IF(B46="Cast Rad/Conv",INDEX(RadCompList!$C$28:$D$28,MATCH(C46,RadCompList!$B$28),MATCH(Radiators!D46,RadCompList!$C$27:$D$27)),IF(B46="Copper Cabinet",(INDEX(RadCompList!$E$39:$J$78,MATCH(Radiators!D46,RadCompList!$D$39:$D$78,0),MATCH(C46,RadCompList!$E$38:$J$38,0))),0))))*E46,0)*$A$2</f>
        <v>0</v>
      </c>
      <c r="I46" s="34">
        <f t="shared" si="1"/>
        <v>0</v>
      </c>
      <c r="J46" s="35">
        <f>IFERROR(VLOOKUP(G46,VentList!$A$1:$D$198,2,FALSE),0)</f>
        <v>0</v>
      </c>
      <c r="K46" s="26">
        <f>IFERROR(VLOOKUP(B46,RadCompList!$P$3:$Q$6,2,FALSE)*H46,0)</f>
        <v>0</v>
      </c>
      <c r="L46" s="26" t="str">
        <f t="shared" si="4"/>
        <v>3/4</v>
      </c>
      <c r="M46" s="37">
        <f>Main!$G$8-0.0001306*N46^2 * F46*(1+3.6/VLOOKUP(L46,Calculations!$B$4:$F$15,2,FALSE))/(3600*Main!$C$7*VLOOKUP(L46,Calculations!$B$4:$F$15,2,FALSE)^5)</f>
        <v>0.14820436411902377</v>
      </c>
      <c r="N46" s="37">
        <f t="shared" si="2"/>
        <v>0</v>
      </c>
      <c r="O46" s="37">
        <f>IF(H46&lt;32,SteamProperties!$F$24*Radiators!F46,IF(H46&lt;56,SteamProperties!$F$25*Radiators!F46,SteamProperties!$F$26*Radiators!F46))</f>
        <v>0</v>
      </c>
      <c r="P46" s="37">
        <f>IF(H46&lt;32,Calculations!$F$5*Radiators!F46,IF(H46&lt;56,Calculations!$F$6*Radiators!F46,Calculations!$F$7*Radiators!F46))</f>
        <v>0</v>
      </c>
      <c r="Q46" s="37">
        <f t="shared" si="3"/>
        <v>0</v>
      </c>
    </row>
    <row r="47" spans="2:17">
      <c r="B47" s="33"/>
      <c r="C47" s="34"/>
      <c r="D47" s="34"/>
      <c r="E47" s="34"/>
      <c r="F47" s="34"/>
      <c r="G47" s="34"/>
      <c r="H47" s="34">
        <f>IFERROR(IF(B47="Column",INDEX(RadCompList!$C$4:$G$13,MATCH(C47,RadCompList!$B$4:$B$13),MATCH(Radiators!D47,RadCompList!$C$3:$G$3)),IF(B47="Tube",INDEX(RadCompList!$C$16:$I$22,MATCH(C47,RadCompList!$B$16:$B$22),MATCH(Radiators!D47,RadCompList!$C$15:$I$15)),IF(B47="Cast Rad/Conv",INDEX(RadCompList!$C$28:$D$28,MATCH(C47,RadCompList!$B$28),MATCH(Radiators!D47,RadCompList!$C$27:$D$27)),IF(B47="Copper Cabinet",(INDEX(RadCompList!$E$39:$J$78,MATCH(Radiators!D47,RadCompList!$D$39:$D$78,0),MATCH(C47,RadCompList!$E$38:$J$38,0))),0))))*E47,0)*$A$2</f>
        <v>0</v>
      </c>
      <c r="I47" s="34">
        <f t="shared" si="1"/>
        <v>0</v>
      </c>
      <c r="J47" s="35">
        <f>IFERROR(VLOOKUP(G47,VentList!$A$1:$D$198,2,FALSE),0)</f>
        <v>0</v>
      </c>
      <c r="K47" s="26">
        <f>IFERROR(VLOOKUP(B47,RadCompList!$P$3:$Q$6,2,FALSE)*H47,0)</f>
        <v>0</v>
      </c>
      <c r="L47" s="26" t="str">
        <f t="shared" si="4"/>
        <v>3/4</v>
      </c>
      <c r="M47" s="37">
        <f>Main!$G$8-0.0001306*N47^2 * F47*(1+3.6/VLOOKUP(L47,Calculations!$B$4:$F$15,2,FALSE))/(3600*Main!$C$7*VLOOKUP(L47,Calculations!$B$4:$F$15,2,FALSE)^5)</f>
        <v>0.14820436411902377</v>
      </c>
      <c r="N47" s="37">
        <f t="shared" si="2"/>
        <v>0</v>
      </c>
      <c r="O47" s="37">
        <f>IF(H47&lt;32,SteamProperties!$F$24*Radiators!F47,IF(H47&lt;56,SteamProperties!$F$25*Radiators!F47,SteamProperties!$F$26*Radiators!F47))</f>
        <v>0</v>
      </c>
      <c r="P47" s="37">
        <f>IF(H47&lt;32,Calculations!$F$5*Radiators!F47,IF(H47&lt;56,Calculations!$F$6*Radiators!F47,Calculations!$F$7*Radiators!F47))</f>
        <v>0</v>
      </c>
      <c r="Q47" s="37">
        <f t="shared" si="3"/>
        <v>0</v>
      </c>
    </row>
    <row r="48" spans="2:17">
      <c r="B48" s="33"/>
      <c r="C48" s="34"/>
      <c r="D48" s="34"/>
      <c r="E48" s="34"/>
      <c r="F48" s="34"/>
      <c r="G48" s="34"/>
      <c r="H48" s="34">
        <f>IFERROR(IF(B48="Column",INDEX(RadCompList!$C$4:$G$13,MATCH(C48,RadCompList!$B$4:$B$13),MATCH(Radiators!D48,RadCompList!$C$3:$G$3)),IF(B48="Tube",INDEX(RadCompList!$C$16:$I$22,MATCH(C48,RadCompList!$B$16:$B$22),MATCH(Radiators!D48,RadCompList!$C$15:$I$15)),IF(B48="Cast Rad/Conv",INDEX(RadCompList!$C$28:$D$28,MATCH(C48,RadCompList!$B$28),MATCH(Radiators!D48,RadCompList!$C$27:$D$27)),IF(B48="Copper Cabinet",(INDEX(RadCompList!$E$39:$J$78,MATCH(Radiators!D48,RadCompList!$D$39:$D$78,0),MATCH(C48,RadCompList!$E$38:$J$38,0))),0))))*E48,0)*$A$2</f>
        <v>0</v>
      </c>
      <c r="I48" s="34">
        <f t="shared" si="1"/>
        <v>0</v>
      </c>
      <c r="J48" s="35">
        <f>IFERROR(VLOOKUP(G48,VentList!$A$1:$D$198,2,FALSE),0)</f>
        <v>0</v>
      </c>
      <c r="K48" s="26">
        <f>IFERROR(VLOOKUP(B48,RadCompList!$P$3:$Q$6,2,FALSE)*H48,0)</f>
        <v>0</v>
      </c>
      <c r="L48" s="26" t="str">
        <f t="shared" si="4"/>
        <v>3/4</v>
      </c>
      <c r="M48" s="37">
        <f>Main!$G$8-0.0001306*N48^2 * F48*(1+3.6/VLOOKUP(L48,Calculations!$B$4:$F$15,2,FALSE))/(3600*Main!$C$7*VLOOKUP(L48,Calculations!$B$4:$F$15,2,FALSE)^5)</f>
        <v>0.14820436411902377</v>
      </c>
      <c r="N48" s="37">
        <f t="shared" si="2"/>
        <v>0</v>
      </c>
      <c r="O48" s="37">
        <f>IF(H48&lt;32,SteamProperties!$F$24*Radiators!F48,IF(H48&lt;56,SteamProperties!$F$25*Radiators!F48,SteamProperties!$F$26*Radiators!F48))</f>
        <v>0</v>
      </c>
      <c r="P48" s="37">
        <f>IF(H48&lt;32,Calculations!$F$5*Radiators!F48,IF(H48&lt;56,Calculations!$F$6*Radiators!F48,Calculations!$F$7*Radiators!F48))</f>
        <v>0</v>
      </c>
      <c r="Q48" s="37">
        <f t="shared" si="3"/>
        <v>0</v>
      </c>
    </row>
    <row r="49" spans="2:17">
      <c r="B49" s="33"/>
      <c r="C49" s="34"/>
      <c r="D49" s="34"/>
      <c r="E49" s="34"/>
      <c r="F49" s="34"/>
      <c r="G49" s="34"/>
      <c r="H49" s="34">
        <f>IFERROR(IF(B49="Column",INDEX(RadCompList!$C$4:$G$13,MATCH(C49,RadCompList!$B$4:$B$13),MATCH(Radiators!D49,RadCompList!$C$3:$G$3)),IF(B49="Tube",INDEX(RadCompList!$C$16:$I$22,MATCH(C49,RadCompList!$B$16:$B$22),MATCH(Radiators!D49,RadCompList!$C$15:$I$15)),IF(B49="Cast Rad/Conv",INDEX(RadCompList!$C$28:$D$28,MATCH(C49,RadCompList!$B$28),MATCH(Radiators!D49,RadCompList!$C$27:$D$27)),IF(B49="Copper Cabinet",(INDEX(RadCompList!$E$39:$J$78,MATCH(Radiators!D49,RadCompList!$D$39:$D$78,0),MATCH(C49,RadCompList!$E$38:$J$38,0))),0))))*E49,0)*$A$2</f>
        <v>0</v>
      </c>
      <c r="I49" s="34">
        <f t="shared" si="1"/>
        <v>0</v>
      </c>
      <c r="J49" s="35">
        <f>IFERROR(VLOOKUP(G49,VentList!$A$1:$D$198,2,FALSE),0)</f>
        <v>0</v>
      </c>
      <c r="K49" s="26">
        <f>IFERROR(VLOOKUP(B49,RadCompList!$P$3:$Q$6,2,FALSE)*H49,0)</f>
        <v>0</v>
      </c>
      <c r="L49" s="26" t="str">
        <f t="shared" si="4"/>
        <v>3/4</v>
      </c>
      <c r="M49" s="37">
        <f>Main!$G$8-0.0001306*N49^2 * F49*(1+3.6/VLOOKUP(L49,Calculations!$B$4:$F$15,2,FALSE))/(3600*Main!$C$7*VLOOKUP(L49,Calculations!$B$4:$F$15,2,FALSE)^5)</f>
        <v>0.14820436411902377</v>
      </c>
      <c r="N49" s="37">
        <f t="shared" si="2"/>
        <v>0</v>
      </c>
      <c r="O49" s="37">
        <f>IF(H49&lt;32,SteamProperties!$F$24*Radiators!F49,IF(H49&lt;56,SteamProperties!$F$25*Radiators!F49,SteamProperties!$F$26*Radiators!F49))</f>
        <v>0</v>
      </c>
      <c r="P49" s="37">
        <f>IF(H49&lt;32,Calculations!$F$5*Radiators!F49,IF(H49&lt;56,Calculations!$F$6*Radiators!F49,Calculations!$F$7*Radiators!F49))</f>
        <v>0</v>
      </c>
      <c r="Q49" s="37">
        <f t="shared" si="3"/>
        <v>0</v>
      </c>
    </row>
    <row r="50" spans="2:17">
      <c r="B50" s="33"/>
      <c r="C50" s="34"/>
      <c r="D50" s="34"/>
      <c r="E50" s="34"/>
      <c r="F50" s="34"/>
      <c r="G50" s="34"/>
      <c r="H50" s="34">
        <f>IFERROR(IF(B50="Column",INDEX(RadCompList!$C$4:$G$13,MATCH(C50,RadCompList!$B$4:$B$13),MATCH(Radiators!D50,RadCompList!$C$3:$G$3)),IF(B50="Tube",INDEX(RadCompList!$C$16:$I$22,MATCH(C50,RadCompList!$B$16:$B$22),MATCH(Radiators!D50,RadCompList!$C$15:$I$15)),IF(B50="Cast Rad/Conv",INDEX(RadCompList!$C$28:$D$28,MATCH(C50,RadCompList!$B$28),MATCH(Radiators!D50,RadCompList!$C$27:$D$27)),IF(B50="Copper Cabinet",(INDEX(RadCompList!$E$39:$J$78,MATCH(Radiators!D50,RadCompList!$D$39:$D$78,0),MATCH(C50,RadCompList!$E$38:$J$38,0))),0))))*E50,0)*$A$2</f>
        <v>0</v>
      </c>
      <c r="I50" s="34">
        <f t="shared" si="1"/>
        <v>0</v>
      </c>
      <c r="J50" s="35">
        <f>IFERROR(VLOOKUP(G50,VentList!$A$1:$D$198,2,FALSE),0)</f>
        <v>0</v>
      </c>
      <c r="K50" s="26">
        <f>IFERROR(VLOOKUP(B50,RadCompList!$P$3:$Q$6,2,FALSE)*H50,0)</f>
        <v>0</v>
      </c>
      <c r="L50" s="26" t="str">
        <f t="shared" si="4"/>
        <v>3/4</v>
      </c>
      <c r="M50" s="37">
        <f>Main!$G$8-0.0001306*N50^2 * F50*(1+3.6/VLOOKUP(L50,Calculations!$B$4:$F$15,2,FALSE))/(3600*Main!$C$7*VLOOKUP(L50,Calculations!$B$4:$F$15,2,FALSE)^5)</f>
        <v>0.14820436411902377</v>
      </c>
      <c r="N50" s="37">
        <f t="shared" si="2"/>
        <v>0</v>
      </c>
      <c r="O50" s="37">
        <f>IF(H50&lt;32,SteamProperties!$F$24*Radiators!F50,IF(H50&lt;56,SteamProperties!$F$25*Radiators!F50,SteamProperties!$F$26*Radiators!F50))</f>
        <v>0</v>
      </c>
      <c r="P50" s="37">
        <f>IF(H50&lt;32,Calculations!$F$5*Radiators!F50,IF(H50&lt;56,Calculations!$F$6*Radiators!F50,Calculations!$F$7*Radiators!F50))</f>
        <v>0</v>
      </c>
      <c r="Q50" s="37">
        <f t="shared" si="3"/>
        <v>0</v>
      </c>
    </row>
    <row r="51" spans="2:17">
      <c r="B51" s="33"/>
      <c r="C51" s="34"/>
      <c r="D51" s="34"/>
      <c r="E51" s="34"/>
      <c r="F51" s="34"/>
      <c r="G51" s="34"/>
      <c r="H51" s="34">
        <f>IFERROR(IF(B51="Column",INDEX(RadCompList!$C$4:$G$13,MATCH(C51,RadCompList!$B$4:$B$13),MATCH(Radiators!D51,RadCompList!$C$3:$G$3)),IF(B51="Tube",INDEX(RadCompList!$C$16:$I$22,MATCH(C51,RadCompList!$B$16:$B$22),MATCH(Radiators!D51,RadCompList!$C$15:$I$15)),IF(B51="Cast Rad/Conv",INDEX(RadCompList!$C$28:$D$28,MATCH(C51,RadCompList!$B$28),MATCH(Radiators!D51,RadCompList!$C$27:$D$27)),IF(B51="Copper Cabinet",(INDEX(RadCompList!$E$39:$J$78,MATCH(Radiators!D51,RadCompList!$D$39:$D$78,0),MATCH(C51,RadCompList!$E$38:$J$38,0))),0))))*E51,0)*$A$2</f>
        <v>0</v>
      </c>
      <c r="I51" s="34">
        <f t="shared" si="1"/>
        <v>0</v>
      </c>
      <c r="J51" s="35">
        <f>IFERROR(VLOOKUP(G51,VentList!$A$1:$D$198,2,FALSE),0)</f>
        <v>0</v>
      </c>
      <c r="K51" s="26">
        <f>IFERROR(VLOOKUP(B51,RadCompList!$P$3:$Q$6,2,FALSE)*H51,0)</f>
        <v>0</v>
      </c>
      <c r="L51" s="26" t="str">
        <f t="shared" si="4"/>
        <v>3/4</v>
      </c>
      <c r="M51" s="37">
        <f>Main!$G$8-0.0001306*N51^2 * F51*(1+3.6/VLOOKUP(L51,Calculations!$B$4:$F$15,2,FALSE))/(3600*Main!$C$7*VLOOKUP(L51,Calculations!$B$4:$F$15,2,FALSE)^5)</f>
        <v>0.14820436411902377</v>
      </c>
      <c r="N51" s="37">
        <f t="shared" si="2"/>
        <v>0</v>
      </c>
      <c r="O51" s="37">
        <f>IF(H51&lt;32,SteamProperties!$F$24*Radiators!F51,IF(H51&lt;56,SteamProperties!$F$25*Radiators!F51,SteamProperties!$F$26*Radiators!F51))</f>
        <v>0</v>
      </c>
      <c r="P51" s="37">
        <f>IF(H51&lt;32,Calculations!$F$5*Radiators!F51,IF(H51&lt;56,Calculations!$F$6*Radiators!F51,Calculations!$F$7*Radiators!F51))</f>
        <v>0</v>
      </c>
      <c r="Q51" s="37">
        <f t="shared" si="3"/>
        <v>0</v>
      </c>
    </row>
    <row r="52" spans="2:17">
      <c r="B52" s="33"/>
      <c r="C52" s="34"/>
      <c r="D52" s="34"/>
      <c r="E52" s="34"/>
      <c r="F52" s="34"/>
      <c r="G52" s="34"/>
      <c r="H52" s="34">
        <f>IFERROR(IF(B52="Column",INDEX(RadCompList!$C$4:$G$13,MATCH(C52,RadCompList!$B$4:$B$13),MATCH(Radiators!D52,RadCompList!$C$3:$G$3)),IF(B52="Tube",INDEX(RadCompList!$C$16:$I$22,MATCH(C52,RadCompList!$B$16:$B$22),MATCH(Radiators!D52,RadCompList!$C$15:$I$15)),IF(B52="Cast Rad/Conv",INDEX(RadCompList!$C$28:$D$28,MATCH(C52,RadCompList!$B$28),MATCH(Radiators!D52,RadCompList!$C$27:$D$27)),IF(B52="Copper Cabinet",(INDEX(RadCompList!$E$39:$J$78,MATCH(Radiators!D52,RadCompList!$D$39:$D$78,0),MATCH(C52,RadCompList!$E$38:$J$38,0))),0))))*E52,0)*$A$2</f>
        <v>0</v>
      </c>
      <c r="I52" s="34">
        <f t="shared" si="1"/>
        <v>0</v>
      </c>
      <c r="J52" s="35">
        <f>IFERROR(VLOOKUP(G52,VentList!$A$1:$D$198,2,FALSE),0)</f>
        <v>0</v>
      </c>
      <c r="K52" s="26">
        <f>IFERROR(VLOOKUP(B52,RadCompList!$P$3:$Q$6,2,FALSE)*H52,0)</f>
        <v>0</v>
      </c>
      <c r="L52" s="26" t="str">
        <f t="shared" si="4"/>
        <v>3/4</v>
      </c>
      <c r="M52" s="37">
        <f>Main!$G$8-0.0001306*N52^2 * F52*(1+3.6/VLOOKUP(L52,Calculations!$B$4:$F$15,2,FALSE))/(3600*Main!$C$7*VLOOKUP(L52,Calculations!$B$4:$F$15,2,FALSE)^5)</f>
        <v>0.14820436411902377</v>
      </c>
      <c r="N52" s="37">
        <f t="shared" si="2"/>
        <v>0</v>
      </c>
      <c r="O52" s="37">
        <f>IF(H52&lt;32,SteamProperties!$F$24*Radiators!F52,IF(H52&lt;56,SteamProperties!$F$25*Radiators!F52,SteamProperties!$F$26*Radiators!F52))</f>
        <v>0</v>
      </c>
      <c r="P52" s="37">
        <f>IF(H52&lt;32,Calculations!$F$5*Radiators!F52,IF(H52&lt;56,Calculations!$F$6*Radiators!F52,Calculations!$F$7*Radiators!F52))</f>
        <v>0</v>
      </c>
      <c r="Q52" s="37">
        <f t="shared" si="3"/>
        <v>0</v>
      </c>
    </row>
    <row r="53" spans="2:17">
      <c r="B53" s="33"/>
      <c r="C53" s="34"/>
      <c r="D53" s="34"/>
      <c r="E53" s="34"/>
      <c r="F53" s="34"/>
      <c r="G53" s="34"/>
      <c r="H53" s="34">
        <f>IFERROR(IF(B53="Column",INDEX(RadCompList!$C$4:$G$13,MATCH(C53,RadCompList!$B$4:$B$13),MATCH(Radiators!D53,RadCompList!$C$3:$G$3)),IF(B53="Tube",INDEX(RadCompList!$C$16:$I$22,MATCH(C53,RadCompList!$B$16:$B$22),MATCH(Radiators!D53,RadCompList!$C$15:$I$15)),IF(B53="Cast Rad/Conv",INDEX(RadCompList!$C$28:$D$28,MATCH(C53,RadCompList!$B$28),MATCH(Radiators!D53,RadCompList!$C$27:$D$27)),IF(B53="Copper Cabinet",(INDEX(RadCompList!$E$39:$J$78,MATCH(Radiators!D53,RadCompList!$D$39:$D$78,0),MATCH(C53,RadCompList!$E$38:$J$38,0))),0))))*E53,0)*$A$2</f>
        <v>0</v>
      </c>
      <c r="I53" s="34">
        <f t="shared" si="1"/>
        <v>0</v>
      </c>
      <c r="J53" s="35">
        <f>IFERROR(VLOOKUP(G53,VentList!$A$1:$D$198,2,FALSE),0)</f>
        <v>0</v>
      </c>
      <c r="K53" s="26">
        <f>IFERROR(VLOOKUP(B53,RadCompList!$P$3:$Q$6,2,FALSE)*H53,0)</f>
        <v>0</v>
      </c>
      <c r="L53" s="26" t="str">
        <f t="shared" si="4"/>
        <v>3/4</v>
      </c>
      <c r="M53" s="37">
        <f>Main!$G$8-0.0001306*N53^2 * F53*(1+3.6/VLOOKUP(L53,Calculations!$B$4:$F$15,2,FALSE))/(3600*Main!$C$7*VLOOKUP(L53,Calculations!$B$4:$F$15,2,FALSE)^5)</f>
        <v>0.14820436411902377</v>
      </c>
      <c r="N53" s="37">
        <f t="shared" si="2"/>
        <v>0</v>
      </c>
      <c r="O53" s="37">
        <f>IF(H53&lt;32,SteamProperties!$F$24*Radiators!F53,IF(H53&lt;56,SteamProperties!$F$25*Radiators!F53,SteamProperties!$F$26*Radiators!F53))</f>
        <v>0</v>
      </c>
      <c r="P53" s="37">
        <f>IF(H53&lt;32,Calculations!$F$5*Radiators!F53,IF(H53&lt;56,Calculations!$F$6*Radiators!F53,Calculations!$F$7*Radiators!F53))</f>
        <v>0</v>
      </c>
      <c r="Q53" s="37">
        <f t="shared" si="3"/>
        <v>0</v>
      </c>
    </row>
    <row r="54" spans="2:17">
      <c r="B54" s="33"/>
      <c r="C54" s="34"/>
      <c r="D54" s="34"/>
      <c r="E54" s="34"/>
      <c r="F54" s="34"/>
      <c r="G54" s="34"/>
      <c r="H54" s="34">
        <f>IFERROR(IF(B54="Column",INDEX(RadCompList!$C$4:$G$13,MATCH(C54,RadCompList!$B$4:$B$13),MATCH(Radiators!D54,RadCompList!$C$3:$G$3)),IF(B54="Tube",INDEX(RadCompList!$C$16:$I$22,MATCH(C54,RadCompList!$B$16:$B$22),MATCH(Radiators!D54,RadCompList!$C$15:$I$15)),IF(B54="Cast Rad/Conv",INDEX(RadCompList!$C$28:$D$28,MATCH(C54,RadCompList!$B$28),MATCH(Radiators!D54,RadCompList!$C$27:$D$27)),IF(B54="Copper Cabinet",(INDEX(RadCompList!$E$39:$J$78,MATCH(Radiators!D54,RadCompList!$D$39:$D$78,0),MATCH(C54,RadCompList!$E$38:$J$38,0))),0))))*E54,0)*$A$2</f>
        <v>0</v>
      </c>
      <c r="I54" s="34">
        <f t="shared" si="1"/>
        <v>0</v>
      </c>
      <c r="J54" s="35">
        <f>IFERROR(VLOOKUP(G54,VentList!$A$1:$D$198,2,FALSE),0)</f>
        <v>0</v>
      </c>
      <c r="K54" s="26">
        <f>IFERROR(VLOOKUP(B54,RadCompList!$P$3:$Q$6,2,FALSE)*H54,0)</f>
        <v>0</v>
      </c>
      <c r="L54" s="26" t="str">
        <f t="shared" si="4"/>
        <v>3/4</v>
      </c>
      <c r="M54" s="37">
        <f>Main!$G$8-0.0001306*N54^2 * F54*(1+3.6/VLOOKUP(L54,Calculations!$B$4:$F$15,2,FALSE))/(3600*Main!$C$7*VLOOKUP(L54,Calculations!$B$4:$F$15,2,FALSE)^5)</f>
        <v>0.14820436411902377</v>
      </c>
      <c r="N54" s="37">
        <f t="shared" si="2"/>
        <v>0</v>
      </c>
      <c r="O54" s="37">
        <f>IF(H54&lt;32,SteamProperties!$F$24*Radiators!F54,IF(H54&lt;56,SteamProperties!$F$25*Radiators!F54,SteamProperties!$F$26*Radiators!F54))</f>
        <v>0</v>
      </c>
      <c r="P54" s="37">
        <f>IF(H54&lt;32,Calculations!$F$5*Radiators!F54,IF(H54&lt;56,Calculations!$F$6*Radiators!F54,Calculations!$F$7*Radiators!F54))</f>
        <v>0</v>
      </c>
      <c r="Q54" s="37">
        <f t="shared" si="3"/>
        <v>0</v>
      </c>
    </row>
    <row r="55" spans="2:17">
      <c r="B55" s="33"/>
      <c r="C55" s="34"/>
      <c r="D55" s="34"/>
      <c r="E55" s="34"/>
      <c r="F55" s="34"/>
      <c r="G55" s="34"/>
      <c r="H55" s="34">
        <f>IFERROR(IF(B55="Column",INDEX(RadCompList!$C$4:$G$13,MATCH(C55,RadCompList!$B$4:$B$13),MATCH(Radiators!D55,RadCompList!$C$3:$G$3)),IF(B55="Tube",INDEX(RadCompList!$C$16:$I$22,MATCH(C55,RadCompList!$B$16:$B$22),MATCH(Radiators!D55,RadCompList!$C$15:$I$15)),IF(B55="Cast Rad/Conv",INDEX(RadCompList!$C$28:$D$28,MATCH(C55,RadCompList!$B$28),MATCH(Radiators!D55,RadCompList!$C$27:$D$27)),IF(B55="Copper Cabinet",(INDEX(RadCompList!$E$39:$J$78,MATCH(Radiators!D55,RadCompList!$D$39:$D$78,0),MATCH(C55,RadCompList!$E$38:$J$38,0))),0))))*E55,0)*$A$2</f>
        <v>0</v>
      </c>
      <c r="I55" s="34">
        <f t="shared" si="1"/>
        <v>0</v>
      </c>
      <c r="J55" s="35">
        <f>IFERROR(VLOOKUP(G55,VentList!$A$1:$D$198,2,FALSE),0)</f>
        <v>0</v>
      </c>
      <c r="K55" s="26">
        <f>IFERROR(VLOOKUP(B55,RadCompList!$P$3:$Q$6,2,FALSE)*H55,0)</f>
        <v>0</v>
      </c>
      <c r="L55" s="26" t="str">
        <f t="shared" si="4"/>
        <v>3/4</v>
      </c>
      <c r="M55" s="37">
        <f>Main!$G$8-0.0001306*N55^2 * F55*(1+3.6/VLOOKUP(L55,Calculations!$B$4:$F$15,2,FALSE))/(3600*Main!$C$7*VLOOKUP(L55,Calculations!$B$4:$F$15,2,FALSE)^5)</f>
        <v>0.14820436411902377</v>
      </c>
      <c r="N55" s="37">
        <f t="shared" si="2"/>
        <v>0</v>
      </c>
      <c r="O55" s="37">
        <f>IF(H55&lt;32,SteamProperties!$F$24*Radiators!F55,IF(H55&lt;56,SteamProperties!$F$25*Radiators!F55,SteamProperties!$F$26*Radiators!F55))</f>
        <v>0</v>
      </c>
      <c r="P55" s="37">
        <f>IF(H55&lt;32,Calculations!$F$5*Radiators!F55,IF(H55&lt;56,Calculations!$F$6*Radiators!F55,Calculations!$F$7*Radiators!F55))</f>
        <v>0</v>
      </c>
      <c r="Q55" s="37">
        <f t="shared" si="3"/>
        <v>0</v>
      </c>
    </row>
    <row r="56" spans="2:17">
      <c r="B56" s="33"/>
      <c r="C56" s="34"/>
      <c r="D56" s="34"/>
      <c r="E56" s="34"/>
      <c r="F56" s="34"/>
      <c r="G56" s="34"/>
      <c r="H56" s="34">
        <f>IFERROR(IF(B56="Column",INDEX(RadCompList!$C$4:$G$13,MATCH(C56,RadCompList!$B$4:$B$13),MATCH(Radiators!D56,RadCompList!$C$3:$G$3)),IF(B56="Tube",INDEX(RadCompList!$C$16:$I$22,MATCH(C56,RadCompList!$B$16:$B$22),MATCH(Radiators!D56,RadCompList!$C$15:$I$15)),IF(B56="Cast Rad/Conv",INDEX(RadCompList!$C$28:$D$28,MATCH(C56,RadCompList!$B$28),MATCH(Radiators!D56,RadCompList!$C$27:$D$27)),IF(B56="Copper Cabinet",(INDEX(RadCompList!$E$39:$J$78,MATCH(Radiators!D56,RadCompList!$D$39:$D$78,0),MATCH(C56,RadCompList!$E$38:$J$38,0))),0))))*E56,0)*$A$2</f>
        <v>0</v>
      </c>
      <c r="I56" s="34">
        <f t="shared" si="1"/>
        <v>0</v>
      </c>
      <c r="J56" s="35">
        <f>IFERROR(VLOOKUP(G56,VentList!$A$1:$D$198,2,FALSE),0)</f>
        <v>0</v>
      </c>
      <c r="K56" s="26">
        <f>IFERROR(VLOOKUP(B56,RadCompList!$P$3:$Q$6,2,FALSE)*H56,0)</f>
        <v>0</v>
      </c>
      <c r="L56" s="26" t="str">
        <f t="shared" si="4"/>
        <v>3/4</v>
      </c>
      <c r="M56" s="37">
        <f>Main!$G$8-0.0001306*N56^2 * F56*(1+3.6/VLOOKUP(L56,Calculations!$B$4:$F$15,2,FALSE))/(3600*Main!$C$7*VLOOKUP(L56,Calculations!$B$4:$F$15,2,FALSE)^5)</f>
        <v>0.14820436411902377</v>
      </c>
      <c r="N56" s="37">
        <f t="shared" si="2"/>
        <v>0</v>
      </c>
      <c r="O56" s="37">
        <f>IF(H56&lt;32,SteamProperties!$F$24*Radiators!F56,IF(H56&lt;56,SteamProperties!$F$25*Radiators!F56,SteamProperties!$F$26*Radiators!F56))</f>
        <v>0</v>
      </c>
      <c r="P56" s="37">
        <f>IF(H56&lt;32,Calculations!$F$5*Radiators!F56,IF(H56&lt;56,Calculations!$F$6*Radiators!F56,Calculations!$F$7*Radiators!F56))</f>
        <v>0</v>
      </c>
      <c r="Q56" s="37">
        <f t="shared" si="3"/>
        <v>0</v>
      </c>
    </row>
    <row r="57" spans="2:17">
      <c r="B57" s="33"/>
      <c r="C57" s="34"/>
      <c r="D57" s="34"/>
      <c r="E57" s="34"/>
      <c r="F57" s="34"/>
      <c r="G57" s="34"/>
      <c r="H57" s="34">
        <f>IFERROR(IF(B57="Column",INDEX(RadCompList!$C$4:$G$13,MATCH(C57,RadCompList!$B$4:$B$13),MATCH(Radiators!D57,RadCompList!$C$3:$G$3)),IF(B57="Tube",INDEX(RadCompList!$C$16:$I$22,MATCH(C57,RadCompList!$B$16:$B$22),MATCH(Radiators!D57,RadCompList!$C$15:$I$15)),IF(B57="Cast Rad/Conv",INDEX(RadCompList!$C$28:$D$28,MATCH(C57,RadCompList!$B$28),MATCH(Radiators!D57,RadCompList!$C$27:$D$27)),IF(B57="Copper Cabinet",(INDEX(RadCompList!$E$39:$J$78,MATCH(Radiators!D57,RadCompList!$D$39:$D$78,0),MATCH(C57,RadCompList!$E$38:$J$38,0))),0))))*E57,0)*$A$2</f>
        <v>0</v>
      </c>
      <c r="I57" s="34">
        <f t="shared" si="1"/>
        <v>0</v>
      </c>
      <c r="J57" s="35">
        <f>IFERROR(VLOOKUP(G57,VentList!$A$1:$D$198,2,FALSE),0)</f>
        <v>0</v>
      </c>
      <c r="K57" s="26">
        <f>IFERROR(VLOOKUP(B57,RadCompList!$P$3:$Q$6,2,FALSE)*H57,0)</f>
        <v>0</v>
      </c>
      <c r="L57" s="26" t="str">
        <f t="shared" si="4"/>
        <v>3/4</v>
      </c>
      <c r="M57" s="37">
        <f>Main!$G$8-0.0001306*N57^2 * F57*(1+3.6/VLOOKUP(L57,Calculations!$B$4:$F$15,2,FALSE))/(3600*Main!$C$7*VLOOKUP(L57,Calculations!$B$4:$F$15,2,FALSE)^5)</f>
        <v>0.14820436411902377</v>
      </c>
      <c r="N57" s="37">
        <f t="shared" si="2"/>
        <v>0</v>
      </c>
      <c r="O57" s="37">
        <f>IF(H57&lt;32,SteamProperties!$F$24*Radiators!F57,IF(H57&lt;56,SteamProperties!$F$25*Radiators!F57,SteamProperties!$F$26*Radiators!F57))</f>
        <v>0</v>
      </c>
      <c r="P57" s="37">
        <f>IF(H57&lt;32,Calculations!$F$5*Radiators!F57,IF(H57&lt;56,Calculations!$F$6*Radiators!F57,Calculations!$F$7*Radiators!F57))</f>
        <v>0</v>
      </c>
      <c r="Q57" s="37">
        <f t="shared" si="3"/>
        <v>0</v>
      </c>
    </row>
    <row r="58" spans="2:17">
      <c r="B58" s="33"/>
      <c r="C58" s="34"/>
      <c r="D58" s="34"/>
      <c r="E58" s="34"/>
      <c r="F58" s="34"/>
      <c r="G58" s="34"/>
      <c r="H58" s="34">
        <f>IFERROR(IF(B58="Column",INDEX(RadCompList!$C$4:$G$13,MATCH(C58,RadCompList!$B$4:$B$13),MATCH(Radiators!D58,RadCompList!$C$3:$G$3)),IF(B58="Tube",INDEX(RadCompList!$C$16:$I$22,MATCH(C58,RadCompList!$B$16:$B$22),MATCH(Radiators!D58,RadCompList!$C$15:$I$15)),IF(B58="Cast Rad/Conv",INDEX(RadCompList!$C$28:$D$28,MATCH(C58,RadCompList!$B$28),MATCH(Radiators!D58,RadCompList!$C$27:$D$27)),IF(B58="Copper Cabinet",(INDEX(RadCompList!$E$39:$J$78,MATCH(Radiators!D58,RadCompList!$D$39:$D$78,0),MATCH(C58,RadCompList!$E$38:$J$38,0))),0))))*E58,0)*$A$2</f>
        <v>0</v>
      </c>
      <c r="I58" s="34">
        <f t="shared" si="1"/>
        <v>0</v>
      </c>
      <c r="J58" s="35">
        <f>IFERROR(VLOOKUP(G58,VentList!$A$1:$D$198,2,FALSE),0)</f>
        <v>0</v>
      </c>
      <c r="K58" s="26">
        <f>IFERROR(VLOOKUP(B58,RadCompList!$P$3:$Q$6,2,FALSE)*H58,0)</f>
        <v>0</v>
      </c>
      <c r="L58" s="26" t="str">
        <f t="shared" si="4"/>
        <v>3/4</v>
      </c>
      <c r="M58" s="37">
        <f>Main!$G$8-0.0001306*N58^2 * F58*(1+3.6/VLOOKUP(L58,Calculations!$B$4:$F$15,2,FALSE))/(3600*Main!$C$7*VLOOKUP(L58,Calculations!$B$4:$F$15,2,FALSE)^5)</f>
        <v>0.14820436411902377</v>
      </c>
      <c r="N58" s="37">
        <f t="shared" si="2"/>
        <v>0</v>
      </c>
      <c r="O58" s="37">
        <f>IF(H58&lt;32,SteamProperties!$F$24*Radiators!F58,IF(H58&lt;56,SteamProperties!$F$25*Radiators!F58,SteamProperties!$F$26*Radiators!F58))</f>
        <v>0</v>
      </c>
      <c r="P58" s="37">
        <f>IF(H58&lt;32,Calculations!$F$5*Radiators!F58,IF(H58&lt;56,Calculations!$F$6*Radiators!F58,Calculations!$F$7*Radiators!F58))</f>
        <v>0</v>
      </c>
      <c r="Q58" s="37">
        <f t="shared" si="3"/>
        <v>0</v>
      </c>
    </row>
    <row r="59" spans="2:17">
      <c r="B59" s="33"/>
      <c r="C59" s="34"/>
      <c r="D59" s="34"/>
      <c r="E59" s="34"/>
      <c r="F59" s="34"/>
      <c r="G59" s="34"/>
      <c r="H59" s="34">
        <f>IFERROR(IF(B59="Column",INDEX(RadCompList!$C$4:$G$13,MATCH(C59,RadCompList!$B$4:$B$13),MATCH(Radiators!D59,RadCompList!$C$3:$G$3)),IF(B59="Tube",INDEX(RadCompList!$C$16:$I$22,MATCH(C59,RadCompList!$B$16:$B$22),MATCH(Radiators!D59,RadCompList!$C$15:$I$15)),IF(B59="Cast Rad/Conv",INDEX(RadCompList!$C$28:$D$28,MATCH(C59,RadCompList!$B$28),MATCH(Radiators!D59,RadCompList!$C$27:$D$27)),IF(B59="Copper Cabinet",(INDEX(RadCompList!$E$39:$J$78,MATCH(Radiators!D59,RadCompList!$D$39:$D$78,0),MATCH(C59,RadCompList!$E$38:$J$38,0))),0))))*E59,0)*$A$2</f>
        <v>0</v>
      </c>
      <c r="I59" s="34">
        <f t="shared" si="1"/>
        <v>0</v>
      </c>
      <c r="J59" s="35">
        <f>IFERROR(VLOOKUP(G59,VentList!$A$1:$D$198,2,FALSE),0)</f>
        <v>0</v>
      </c>
      <c r="K59" s="26">
        <f>IFERROR(VLOOKUP(B59,RadCompList!$P$3:$Q$6,2,FALSE)*H59,0)</f>
        <v>0</v>
      </c>
      <c r="L59" s="26" t="str">
        <f t="shared" si="4"/>
        <v>3/4</v>
      </c>
      <c r="M59" s="37">
        <f>Main!$G$8-0.0001306*N59^2 * F59*(1+3.6/VLOOKUP(L59,Calculations!$B$4:$F$15,2,FALSE))/(3600*Main!$C$7*VLOOKUP(L59,Calculations!$B$4:$F$15,2,FALSE)^5)</f>
        <v>0.14820436411902377</v>
      </c>
      <c r="N59" s="37">
        <f t="shared" si="2"/>
        <v>0</v>
      </c>
      <c r="O59" s="37">
        <f>IF(H59&lt;32,SteamProperties!$F$24*Radiators!F59,IF(H59&lt;56,SteamProperties!$F$25*Radiators!F59,SteamProperties!$F$26*Radiators!F59))</f>
        <v>0</v>
      </c>
      <c r="P59" s="37">
        <f>IF(H59&lt;32,Calculations!$F$5*Radiators!F59,IF(H59&lt;56,Calculations!$F$6*Radiators!F59,Calculations!$F$7*Radiators!F59))</f>
        <v>0</v>
      </c>
      <c r="Q59" s="37">
        <f t="shared" si="3"/>
        <v>0</v>
      </c>
    </row>
    <row r="60" spans="2:17">
      <c r="B60" s="33"/>
      <c r="C60" s="34"/>
      <c r="D60" s="34"/>
      <c r="E60" s="34"/>
      <c r="F60" s="34"/>
      <c r="G60" s="34"/>
      <c r="H60" s="34">
        <f>IFERROR(IF(B60="Column",INDEX(RadCompList!$C$4:$G$13,MATCH(C60,RadCompList!$B$4:$B$13),MATCH(Radiators!D60,RadCompList!$C$3:$G$3)),IF(B60="Tube",INDEX(RadCompList!$C$16:$I$22,MATCH(C60,RadCompList!$B$16:$B$22),MATCH(Radiators!D60,RadCompList!$C$15:$I$15)),IF(B60="Cast Rad/Conv",INDEX(RadCompList!$C$28:$D$28,MATCH(C60,RadCompList!$B$28),MATCH(Radiators!D60,RadCompList!$C$27:$D$27)),IF(B60="Copper Cabinet",(INDEX(RadCompList!$E$39:$J$78,MATCH(Radiators!D60,RadCompList!$D$39:$D$78,0),MATCH(C60,RadCompList!$E$38:$J$38,0))),0))))*E60,0)*$A$2</f>
        <v>0</v>
      </c>
      <c r="I60" s="34">
        <f t="shared" si="1"/>
        <v>0</v>
      </c>
      <c r="J60" s="35">
        <f>IFERROR(VLOOKUP(G60,VentList!$A$1:$D$198,2,FALSE),0)</f>
        <v>0</v>
      </c>
      <c r="K60" s="26">
        <f>IFERROR(VLOOKUP(B60,RadCompList!$P$3:$Q$6,2,FALSE)*H60,0)</f>
        <v>0</v>
      </c>
      <c r="L60" s="26" t="str">
        <f t="shared" si="4"/>
        <v>3/4</v>
      </c>
      <c r="M60" s="37">
        <f>Main!$G$8-0.0001306*N60^2 * F60*(1+3.6/VLOOKUP(L60,Calculations!$B$4:$F$15,2,FALSE))/(3600*Main!$C$7*VLOOKUP(L60,Calculations!$B$4:$F$15,2,FALSE)^5)</f>
        <v>0.14820436411902377</v>
      </c>
      <c r="N60" s="37">
        <f t="shared" si="2"/>
        <v>0</v>
      </c>
      <c r="O60" s="37">
        <f>IF(H60&lt;32,SteamProperties!$F$24*Radiators!F60,IF(H60&lt;56,SteamProperties!$F$25*Radiators!F60,SteamProperties!$F$26*Radiators!F60))</f>
        <v>0</v>
      </c>
      <c r="P60" s="37">
        <f>IF(H60&lt;32,Calculations!$F$5*Radiators!F60,IF(H60&lt;56,Calculations!$F$6*Radiators!F60,Calculations!$F$7*Radiators!F60))</f>
        <v>0</v>
      </c>
      <c r="Q60" s="37">
        <f t="shared" si="3"/>
        <v>0</v>
      </c>
    </row>
    <row r="61" spans="2:17">
      <c r="B61" s="33"/>
      <c r="C61" s="34"/>
      <c r="D61" s="34"/>
      <c r="E61" s="34"/>
      <c r="F61" s="34"/>
      <c r="G61" s="34"/>
      <c r="H61" s="34">
        <f>IFERROR(IF(B61="Column",INDEX(RadCompList!$C$4:$G$13,MATCH(C61,RadCompList!$B$4:$B$13),MATCH(Radiators!D61,RadCompList!$C$3:$G$3)),IF(B61="Tube",INDEX(RadCompList!$C$16:$I$22,MATCH(C61,RadCompList!$B$16:$B$22),MATCH(Radiators!D61,RadCompList!$C$15:$I$15)),IF(B61="Cast Rad/Conv",INDEX(RadCompList!$C$28:$D$28,MATCH(C61,RadCompList!$B$28),MATCH(Radiators!D61,RadCompList!$C$27:$D$27)),IF(B61="Copper Cabinet",(INDEX(RadCompList!$E$39:$J$78,MATCH(Radiators!D61,RadCompList!$D$39:$D$78,0),MATCH(C61,RadCompList!$E$38:$J$38,0))),0))))*E61,0)*$A$2</f>
        <v>0</v>
      </c>
      <c r="I61" s="34">
        <f t="shared" si="1"/>
        <v>0</v>
      </c>
      <c r="J61" s="35">
        <f>IFERROR(VLOOKUP(G61,VentList!$A$1:$D$198,2,FALSE),0)</f>
        <v>0</v>
      </c>
      <c r="K61" s="26">
        <f>IFERROR(VLOOKUP(B61,RadCompList!$P$3:$Q$6,2,FALSE)*H61,0)</f>
        <v>0</v>
      </c>
      <c r="L61" s="26" t="str">
        <f t="shared" si="4"/>
        <v>3/4</v>
      </c>
      <c r="M61" s="37">
        <f>Main!$G$8-0.0001306*N61^2 * F61*(1+3.6/VLOOKUP(L61,Calculations!$B$4:$F$15,2,FALSE))/(3600*Main!$C$7*VLOOKUP(L61,Calculations!$B$4:$F$15,2,FALSE)^5)</f>
        <v>0.14820436411902377</v>
      </c>
      <c r="N61" s="37">
        <f t="shared" si="2"/>
        <v>0</v>
      </c>
      <c r="O61" s="37">
        <f>IF(H61&lt;32,SteamProperties!$F$24*Radiators!F61,IF(H61&lt;56,SteamProperties!$F$25*Radiators!F61,SteamProperties!$F$26*Radiators!F61))</f>
        <v>0</v>
      </c>
      <c r="P61" s="37">
        <f>IF(H61&lt;32,Calculations!$F$5*Radiators!F61,IF(H61&lt;56,Calculations!$F$6*Radiators!F61,Calculations!$F$7*Radiators!F61))</f>
        <v>0</v>
      </c>
      <c r="Q61" s="37">
        <f t="shared" si="3"/>
        <v>0</v>
      </c>
    </row>
    <row r="62" spans="2:17">
      <c r="B62" s="33"/>
      <c r="C62" s="34"/>
      <c r="D62" s="34"/>
      <c r="E62" s="34"/>
      <c r="F62" s="34"/>
      <c r="G62" s="34"/>
      <c r="H62" s="34">
        <f>IFERROR(IF(B62="Column",INDEX(RadCompList!$C$4:$G$13,MATCH(C62,RadCompList!$B$4:$B$13),MATCH(Radiators!D62,RadCompList!$C$3:$G$3)),IF(B62="Tube",INDEX(RadCompList!$C$16:$I$22,MATCH(C62,RadCompList!$B$16:$B$22),MATCH(Radiators!D62,RadCompList!$C$15:$I$15)),IF(B62="Cast Rad/Conv",INDEX(RadCompList!$C$28:$D$28,MATCH(C62,RadCompList!$B$28),MATCH(Radiators!D62,RadCompList!$C$27:$D$27)),IF(B62="Copper Cabinet",(INDEX(RadCompList!$E$39:$J$78,MATCH(Radiators!D62,RadCompList!$D$39:$D$78,0),MATCH(C62,RadCompList!$E$38:$J$38,0))),0))))*E62,0)*$A$2</f>
        <v>0</v>
      </c>
      <c r="I62" s="34">
        <f t="shared" si="1"/>
        <v>0</v>
      </c>
      <c r="J62" s="35">
        <f>IFERROR(VLOOKUP(G62,VentList!$A$1:$D$198,2,FALSE),0)</f>
        <v>0</v>
      </c>
      <c r="K62" s="26">
        <f>IFERROR(VLOOKUP(B62,RadCompList!$P$3:$Q$6,2,FALSE)*H62,0)</f>
        <v>0</v>
      </c>
      <c r="L62" s="26" t="str">
        <f t="shared" si="4"/>
        <v>3/4</v>
      </c>
      <c r="M62" s="37">
        <f>Main!$G$8-0.0001306*N62^2 * F62*(1+3.6/VLOOKUP(L62,Calculations!$B$4:$F$15,2,FALSE))/(3600*Main!$C$7*VLOOKUP(L62,Calculations!$B$4:$F$15,2,FALSE)^5)</f>
        <v>0.14820436411902377</v>
      </c>
      <c r="N62" s="37">
        <f t="shared" si="2"/>
        <v>0</v>
      </c>
      <c r="O62" s="37">
        <f>IF(H62&lt;32,SteamProperties!$F$24*Radiators!F62,IF(H62&lt;56,SteamProperties!$F$25*Radiators!F62,SteamProperties!$F$26*Radiators!F62))</f>
        <v>0</v>
      </c>
      <c r="P62" s="37">
        <f>IF(H62&lt;32,Calculations!$F$5*Radiators!F62,IF(H62&lt;56,Calculations!$F$6*Radiators!F62,Calculations!$F$7*Radiators!F62))</f>
        <v>0</v>
      </c>
      <c r="Q62" s="37">
        <f t="shared" si="3"/>
        <v>0</v>
      </c>
    </row>
    <row r="63" spans="2:17">
      <c r="B63" s="33"/>
      <c r="C63" s="34"/>
      <c r="D63" s="34"/>
      <c r="E63" s="34"/>
      <c r="F63" s="34"/>
      <c r="G63" s="34"/>
      <c r="H63" s="34">
        <f>IFERROR(IF(B63="Column",INDEX(RadCompList!$C$4:$G$13,MATCH(C63,RadCompList!$B$4:$B$13),MATCH(Radiators!D63,RadCompList!$C$3:$G$3)),IF(B63="Tube",INDEX(RadCompList!$C$16:$I$22,MATCH(C63,RadCompList!$B$16:$B$22),MATCH(Radiators!D63,RadCompList!$C$15:$I$15)),IF(B63="Cast Rad/Conv",INDEX(RadCompList!$C$28:$D$28,MATCH(C63,RadCompList!$B$28),MATCH(Radiators!D63,RadCompList!$C$27:$D$27)),IF(B63="Copper Cabinet",(INDEX(RadCompList!$E$39:$J$78,MATCH(Radiators!D63,RadCompList!$D$39:$D$78,0),MATCH(C63,RadCompList!$E$38:$J$38,0))),0))))*E63,0)*$A$2</f>
        <v>0</v>
      </c>
      <c r="I63" s="34">
        <f t="shared" si="1"/>
        <v>0</v>
      </c>
      <c r="J63" s="35">
        <f>IFERROR(VLOOKUP(G63,VentList!$A$1:$D$198,2,FALSE),0)</f>
        <v>0</v>
      </c>
      <c r="K63" s="26">
        <f>IFERROR(VLOOKUP(B63,RadCompList!$P$3:$Q$6,2,FALSE)*H63,0)</f>
        <v>0</v>
      </c>
      <c r="L63" s="26" t="str">
        <f t="shared" si="4"/>
        <v>3/4</v>
      </c>
      <c r="M63" s="37">
        <f>Main!$G$8-0.0001306*N63^2 * F63*(1+3.6/VLOOKUP(L63,Calculations!$B$4:$F$15,2,FALSE))/(3600*Main!$C$7*VLOOKUP(L63,Calculations!$B$4:$F$15,2,FALSE)^5)</f>
        <v>0.14820436411902377</v>
      </c>
      <c r="N63" s="37">
        <f t="shared" si="2"/>
        <v>0</v>
      </c>
      <c r="O63" s="37">
        <f>IF(H63&lt;32,SteamProperties!$F$24*Radiators!F63,IF(H63&lt;56,SteamProperties!$F$25*Radiators!F63,SteamProperties!$F$26*Radiators!F63))</f>
        <v>0</v>
      </c>
      <c r="P63" s="37">
        <f>IF(H63&lt;32,Calculations!$F$5*Radiators!F63,IF(H63&lt;56,Calculations!$F$6*Radiators!F63,Calculations!$F$7*Radiators!F63))</f>
        <v>0</v>
      </c>
      <c r="Q63" s="37">
        <f t="shared" si="3"/>
        <v>0</v>
      </c>
    </row>
    <row r="64" spans="2:17">
      <c r="B64" s="33"/>
      <c r="C64" s="34"/>
      <c r="D64" s="34"/>
      <c r="E64" s="34"/>
      <c r="F64" s="34"/>
      <c r="G64" s="34"/>
      <c r="H64" s="34">
        <f>IFERROR(IF(B64="Column",INDEX(RadCompList!$C$4:$G$13,MATCH(C64,RadCompList!$B$4:$B$13),MATCH(Radiators!D64,RadCompList!$C$3:$G$3)),IF(B64="Tube",INDEX(RadCompList!$C$16:$I$22,MATCH(C64,RadCompList!$B$16:$B$22),MATCH(Radiators!D64,RadCompList!$C$15:$I$15)),IF(B64="Cast Rad/Conv",INDEX(RadCompList!$C$28:$D$28,MATCH(C64,RadCompList!$B$28),MATCH(Radiators!D64,RadCompList!$C$27:$D$27)),IF(B64="Copper Cabinet",(INDEX(RadCompList!$E$39:$J$78,MATCH(Radiators!D64,RadCompList!$D$39:$D$78,0),MATCH(C64,RadCompList!$E$38:$J$38,0))),0))))*E64,0)*$A$2</f>
        <v>0</v>
      </c>
      <c r="I64" s="34">
        <f t="shared" si="1"/>
        <v>0</v>
      </c>
      <c r="J64" s="35">
        <f>IFERROR(VLOOKUP(G64,VentList!$A$1:$D$198,2,FALSE),0)</f>
        <v>0</v>
      </c>
      <c r="K64" s="26">
        <f>IFERROR(VLOOKUP(B64,RadCompList!$P$3:$Q$6,2,FALSE)*H64,0)</f>
        <v>0</v>
      </c>
      <c r="L64" s="26" t="str">
        <f t="shared" si="4"/>
        <v>3/4</v>
      </c>
      <c r="M64" s="37">
        <f>Main!$G$8-0.0001306*N64^2 * F64*(1+3.6/VLOOKUP(L64,Calculations!$B$4:$F$15,2,FALSE))/(3600*Main!$C$7*VLOOKUP(L64,Calculations!$B$4:$F$15,2,FALSE)^5)</f>
        <v>0.14820436411902377</v>
      </c>
      <c r="N64" s="37">
        <f t="shared" si="2"/>
        <v>0</v>
      </c>
      <c r="O64" s="37">
        <f>IF(H64&lt;32,SteamProperties!$F$24*Radiators!F64,IF(H64&lt;56,SteamProperties!$F$25*Radiators!F64,SteamProperties!$F$26*Radiators!F64))</f>
        <v>0</v>
      </c>
      <c r="P64" s="37">
        <f>IF(H64&lt;32,Calculations!$F$5*Radiators!F64,IF(H64&lt;56,Calculations!$F$6*Radiators!F64,Calculations!$F$7*Radiators!F64))</f>
        <v>0</v>
      </c>
      <c r="Q64" s="37">
        <f t="shared" si="3"/>
        <v>0</v>
      </c>
    </row>
    <row r="65" spans="2:17">
      <c r="B65" s="33"/>
      <c r="C65" s="34"/>
      <c r="D65" s="34"/>
      <c r="E65" s="34"/>
      <c r="F65" s="34"/>
      <c r="G65" s="34"/>
      <c r="H65" s="34">
        <f>IFERROR(IF(B65="Column",INDEX(RadCompList!$C$4:$G$13,MATCH(C65,RadCompList!$B$4:$B$13),MATCH(Radiators!D65,RadCompList!$C$3:$G$3)),IF(B65="Tube",INDEX(RadCompList!$C$16:$I$22,MATCH(C65,RadCompList!$B$16:$B$22),MATCH(Radiators!D65,RadCompList!$C$15:$I$15)),IF(B65="Cast Rad/Conv",INDEX(RadCompList!$C$28:$D$28,MATCH(C65,RadCompList!$B$28),MATCH(Radiators!D65,RadCompList!$C$27:$D$27)),IF(B65="Copper Cabinet",(INDEX(RadCompList!$E$39:$J$78,MATCH(Radiators!D65,RadCompList!$D$39:$D$78,0),MATCH(C65,RadCompList!$E$38:$J$38,0))),0))))*E65,0)*$A$2</f>
        <v>0</v>
      </c>
      <c r="I65" s="34">
        <f t="shared" si="1"/>
        <v>0</v>
      </c>
      <c r="J65" s="35">
        <f>IFERROR(VLOOKUP(G65,VentList!$A$1:$D$198,2,FALSE),0)</f>
        <v>0</v>
      </c>
      <c r="K65" s="26">
        <f>IFERROR(VLOOKUP(B65,RadCompList!$P$3:$Q$6,2,FALSE)*H65,0)</f>
        <v>0</v>
      </c>
      <c r="L65" s="26" t="str">
        <f t="shared" si="4"/>
        <v>3/4</v>
      </c>
      <c r="M65" s="37">
        <f>Main!$G$8-0.0001306*N65^2 * F65*(1+3.6/VLOOKUP(L65,Calculations!$B$4:$F$15,2,FALSE))/(3600*Main!$C$7*VLOOKUP(L65,Calculations!$B$4:$F$15,2,FALSE)^5)</f>
        <v>0.14820436411902377</v>
      </c>
      <c r="N65" s="37">
        <f t="shared" si="2"/>
        <v>0</v>
      </c>
      <c r="O65" s="37">
        <f>IF(H65&lt;32,SteamProperties!$F$24*Radiators!F65,IF(H65&lt;56,SteamProperties!$F$25*Radiators!F65,SteamProperties!$F$26*Radiators!F65))</f>
        <v>0</v>
      </c>
      <c r="P65" s="37">
        <f>IF(H65&lt;32,Calculations!$F$5*Radiators!F65,IF(H65&lt;56,Calculations!$F$6*Radiators!F65,Calculations!$F$7*Radiators!F65))</f>
        <v>0</v>
      </c>
      <c r="Q65" s="37">
        <f t="shared" si="3"/>
        <v>0</v>
      </c>
    </row>
    <row r="66" spans="2:17">
      <c r="B66" s="33"/>
      <c r="C66" s="34"/>
      <c r="D66" s="34"/>
      <c r="E66" s="34"/>
      <c r="F66" s="34"/>
      <c r="G66" s="34"/>
      <c r="H66" s="34">
        <f>IFERROR(IF(B66="Column",INDEX(RadCompList!$C$4:$G$13,MATCH(C66,RadCompList!$B$4:$B$13),MATCH(Radiators!D66,RadCompList!$C$3:$G$3)),IF(B66="Tube",INDEX(RadCompList!$C$16:$I$22,MATCH(C66,RadCompList!$B$16:$B$22),MATCH(Radiators!D66,RadCompList!$C$15:$I$15)),IF(B66="Cast Rad/Conv",INDEX(RadCompList!$C$28:$D$28,MATCH(C66,RadCompList!$B$28),MATCH(Radiators!D66,RadCompList!$C$27:$D$27)),IF(B66="Copper Cabinet",(INDEX(RadCompList!$E$39:$J$78,MATCH(Radiators!D66,RadCompList!$D$39:$D$78,0),MATCH(C66,RadCompList!$E$38:$J$38,0))),0))))*E66,0)*$A$2</f>
        <v>0</v>
      </c>
      <c r="I66" s="34">
        <f t="shared" si="1"/>
        <v>0</v>
      </c>
      <c r="J66" s="35">
        <f>IFERROR(VLOOKUP(G66,VentList!$A$1:$D$198,2,FALSE),0)</f>
        <v>0</v>
      </c>
      <c r="K66" s="26">
        <f>IFERROR(VLOOKUP(B66,RadCompList!$P$3:$Q$6,2,FALSE)*H66,0)</f>
        <v>0</v>
      </c>
      <c r="L66" s="26" t="str">
        <f t="shared" si="4"/>
        <v>3/4</v>
      </c>
      <c r="M66" s="37">
        <f>Main!$G$8-0.0001306*N66^2 * F66*(1+3.6/VLOOKUP(L66,Calculations!$B$4:$F$15,2,FALSE))/(3600*Main!$C$7*VLOOKUP(L66,Calculations!$B$4:$F$15,2,FALSE)^5)</f>
        <v>0.14820436411902377</v>
      </c>
      <c r="N66" s="37">
        <f t="shared" si="2"/>
        <v>0</v>
      </c>
      <c r="O66" s="37">
        <f>IF(H66&lt;32,SteamProperties!$F$24*Radiators!F66,IF(H66&lt;56,SteamProperties!$F$25*Radiators!F66,SteamProperties!$F$26*Radiators!F66))</f>
        <v>0</v>
      </c>
      <c r="P66" s="37">
        <f>IF(H66&lt;32,Calculations!$F$5*Radiators!F66,IF(H66&lt;56,Calculations!$F$6*Radiators!F66,Calculations!$F$7*Radiators!F66))</f>
        <v>0</v>
      </c>
      <c r="Q66" s="37">
        <f t="shared" si="3"/>
        <v>0</v>
      </c>
    </row>
    <row r="67" spans="2:17">
      <c r="B67" s="33"/>
      <c r="C67" s="34"/>
      <c r="D67" s="34"/>
      <c r="E67" s="34"/>
      <c r="F67" s="34"/>
      <c r="G67" s="34"/>
      <c r="H67" s="34">
        <f>IFERROR(IF(B67="Column",INDEX(RadCompList!$C$4:$G$13,MATCH(C67,RadCompList!$B$4:$B$13),MATCH(Radiators!D67,RadCompList!$C$3:$G$3)),IF(B67="Tube",INDEX(RadCompList!$C$16:$I$22,MATCH(C67,RadCompList!$B$16:$B$22),MATCH(Radiators!D67,RadCompList!$C$15:$I$15)),IF(B67="Cast Rad/Conv",INDEX(RadCompList!$C$28:$D$28,MATCH(C67,RadCompList!$B$28),MATCH(Radiators!D67,RadCompList!$C$27:$D$27)),IF(B67="Copper Cabinet",(INDEX(RadCompList!$E$39:$J$78,MATCH(Radiators!D67,RadCompList!$D$39:$D$78,0),MATCH(C67,RadCompList!$E$38:$J$38,0))),0))))*E67,0)*$A$2</f>
        <v>0</v>
      </c>
      <c r="I67" s="34">
        <f t="shared" ref="I67:I130" si="5">IFERROR(240*H67,0)*$A$2</f>
        <v>0</v>
      </c>
      <c r="J67" s="35">
        <f>IFERROR(VLOOKUP(G67,VentList!$A$1:$D$198,2,FALSE),0)</f>
        <v>0</v>
      </c>
      <c r="K67" s="26">
        <f>IFERROR(VLOOKUP(B67,RadCompList!$P$3:$Q$6,2,FALSE)*H67,0)</f>
        <v>0</v>
      </c>
      <c r="L67" s="26" t="str">
        <f t="shared" si="4"/>
        <v>3/4</v>
      </c>
      <c r="M67" s="37">
        <f>Main!$G$8-0.0001306*N67^2 * F67*(1+3.6/VLOOKUP(L67,Calculations!$B$4:$F$15,2,FALSE))/(3600*Main!$C$7*VLOOKUP(L67,Calculations!$B$4:$F$15,2,FALSE)^5)</f>
        <v>0.14820436411902377</v>
      </c>
      <c r="N67" s="37">
        <f t="shared" ref="N67:N130" si="6">I67/(970+27)</f>
        <v>0</v>
      </c>
      <c r="O67" s="37">
        <f>IF(H67&lt;32,SteamProperties!$F$24*Radiators!F67,IF(H67&lt;56,SteamProperties!$F$25*Radiators!F67,SteamProperties!$F$26*Radiators!F67))</f>
        <v>0</v>
      </c>
      <c r="P67" s="37">
        <f>IF(H67&lt;32,Calculations!$F$5*Radiators!F67,IF(H67&lt;56,Calculations!$F$6*Radiators!F67,Calculations!$F$7*Radiators!F67))</f>
        <v>0</v>
      </c>
      <c r="Q67" s="37">
        <f t="shared" ref="Q67:Q130" si="7">I67/(970)</f>
        <v>0</v>
      </c>
    </row>
    <row r="68" spans="2:17">
      <c r="B68" s="33"/>
      <c r="C68" s="34"/>
      <c r="D68" s="34"/>
      <c r="E68" s="34"/>
      <c r="F68" s="34"/>
      <c r="G68" s="34"/>
      <c r="H68" s="34">
        <f>IFERROR(IF(B68="Column",INDEX(RadCompList!$C$4:$G$13,MATCH(C68,RadCompList!$B$4:$B$13),MATCH(Radiators!D68,RadCompList!$C$3:$G$3)),IF(B68="Tube",INDEX(RadCompList!$C$16:$I$22,MATCH(C68,RadCompList!$B$16:$B$22),MATCH(Radiators!D68,RadCompList!$C$15:$I$15)),IF(B68="Cast Rad/Conv",INDEX(RadCompList!$C$28:$D$28,MATCH(C68,RadCompList!$B$28),MATCH(Radiators!D68,RadCompList!$C$27:$D$27)),IF(B68="Copper Cabinet",(INDEX(RadCompList!$E$39:$J$78,MATCH(Radiators!D68,RadCompList!$D$39:$D$78,0),MATCH(C68,RadCompList!$E$38:$J$38,0))),0))))*E68,0)*$A$2</f>
        <v>0</v>
      </c>
      <c r="I68" s="34">
        <f t="shared" si="5"/>
        <v>0</v>
      </c>
      <c r="J68" s="35">
        <f>IFERROR(VLOOKUP(G68,VentList!$A$1:$D$198,2,FALSE),0)</f>
        <v>0</v>
      </c>
      <c r="K68" s="26">
        <f>IFERROR(VLOOKUP(B68,RadCompList!$P$3:$Q$6,2,FALSE)*H68,0)</f>
        <v>0</v>
      </c>
      <c r="L68" s="26" t="str">
        <f t="shared" si="4"/>
        <v>3/4</v>
      </c>
      <c r="M68" s="37">
        <f>Main!$G$8-0.0001306*N68^2 * F68*(1+3.6/VLOOKUP(L68,Calculations!$B$4:$F$15,2,FALSE))/(3600*Main!$C$7*VLOOKUP(L68,Calculations!$B$4:$F$15,2,FALSE)^5)</f>
        <v>0.14820436411902377</v>
      </c>
      <c r="N68" s="37">
        <f t="shared" si="6"/>
        <v>0</v>
      </c>
      <c r="O68" s="37">
        <f>IF(H68&lt;32,SteamProperties!$F$24*Radiators!F68,IF(H68&lt;56,SteamProperties!$F$25*Radiators!F68,SteamProperties!$F$26*Radiators!F68))</f>
        <v>0</v>
      </c>
      <c r="P68" s="37">
        <f>IF(H68&lt;32,Calculations!$F$5*Radiators!F68,IF(H68&lt;56,Calculations!$F$6*Radiators!F68,Calculations!$F$7*Radiators!F68))</f>
        <v>0</v>
      </c>
      <c r="Q68" s="37">
        <f t="shared" si="7"/>
        <v>0</v>
      </c>
    </row>
    <row r="69" spans="2:17">
      <c r="B69" s="33"/>
      <c r="C69" s="34"/>
      <c r="D69" s="34"/>
      <c r="E69" s="34"/>
      <c r="F69" s="34"/>
      <c r="G69" s="34"/>
      <c r="H69" s="34">
        <f>IFERROR(IF(B69="Column",INDEX(RadCompList!$C$4:$G$13,MATCH(C69,RadCompList!$B$4:$B$13),MATCH(Radiators!D69,RadCompList!$C$3:$G$3)),IF(B69="Tube",INDEX(RadCompList!$C$16:$I$22,MATCH(C69,RadCompList!$B$16:$B$22),MATCH(Radiators!D69,RadCompList!$C$15:$I$15)),IF(B69="Cast Rad/Conv",INDEX(RadCompList!$C$28:$D$28,MATCH(C69,RadCompList!$B$28),MATCH(Radiators!D69,RadCompList!$C$27:$D$27)),IF(B69="Copper Cabinet",(INDEX(RadCompList!$E$39:$J$78,MATCH(Radiators!D69,RadCompList!$D$39:$D$78,0),MATCH(C69,RadCompList!$E$38:$J$38,0))),0))))*E69,0)*$A$2</f>
        <v>0</v>
      </c>
      <c r="I69" s="34">
        <f t="shared" si="5"/>
        <v>0</v>
      </c>
      <c r="J69" s="35">
        <f>IFERROR(VLOOKUP(G69,VentList!$A$1:$D$198,2,FALSE),0)</f>
        <v>0</v>
      </c>
      <c r="K69" s="26">
        <f>IFERROR(VLOOKUP(B69,RadCompList!$P$3:$Q$6,2,FALSE)*H69,0)</f>
        <v>0</v>
      </c>
      <c r="L69" s="26" t="str">
        <f t="shared" si="4"/>
        <v>3/4</v>
      </c>
      <c r="M69" s="37">
        <f>Main!$G$8-0.0001306*N69^2 * F69*(1+3.6/VLOOKUP(L69,Calculations!$B$4:$F$15,2,FALSE))/(3600*Main!$C$7*VLOOKUP(L69,Calculations!$B$4:$F$15,2,FALSE)^5)</f>
        <v>0.14820436411902377</v>
      </c>
      <c r="N69" s="37">
        <f t="shared" si="6"/>
        <v>0</v>
      </c>
      <c r="O69" s="37">
        <f>IF(H69&lt;32,SteamProperties!$F$24*Radiators!F69,IF(H69&lt;56,SteamProperties!$F$25*Radiators!F69,SteamProperties!$F$26*Radiators!F69))</f>
        <v>0</v>
      </c>
      <c r="P69" s="37">
        <f>IF(H69&lt;32,Calculations!$F$5*Radiators!F69,IF(H69&lt;56,Calculations!$F$6*Radiators!F69,Calculations!$F$7*Radiators!F69))</f>
        <v>0</v>
      </c>
      <c r="Q69" s="37">
        <f t="shared" si="7"/>
        <v>0</v>
      </c>
    </row>
    <row r="70" spans="2:17">
      <c r="B70" s="33"/>
      <c r="C70" s="34"/>
      <c r="D70" s="34"/>
      <c r="E70" s="34"/>
      <c r="F70" s="34"/>
      <c r="G70" s="34"/>
      <c r="H70" s="34">
        <f>IFERROR(IF(B70="Column",INDEX(RadCompList!$C$4:$G$13,MATCH(C70,RadCompList!$B$4:$B$13),MATCH(Radiators!D70,RadCompList!$C$3:$G$3)),IF(B70="Tube",INDEX(RadCompList!$C$16:$I$22,MATCH(C70,RadCompList!$B$16:$B$22),MATCH(Radiators!D70,RadCompList!$C$15:$I$15)),IF(B70="Cast Rad/Conv",INDEX(RadCompList!$C$28:$D$28,MATCH(C70,RadCompList!$B$28),MATCH(Radiators!D70,RadCompList!$C$27:$D$27)),IF(B70="Copper Cabinet",(INDEX(RadCompList!$E$39:$J$78,MATCH(Radiators!D70,RadCompList!$D$39:$D$78,0),MATCH(C70,RadCompList!$E$38:$J$38,0))),0))))*E70,0)*$A$2</f>
        <v>0</v>
      </c>
      <c r="I70" s="34">
        <f t="shared" si="5"/>
        <v>0</v>
      </c>
      <c r="J70" s="35">
        <f>IFERROR(VLOOKUP(G70,VentList!$A$1:$D$198,2,FALSE),0)</f>
        <v>0</v>
      </c>
      <c r="K70" s="26">
        <f>IFERROR(VLOOKUP(B70,RadCompList!$P$3:$Q$6,2,FALSE)*H70,0)</f>
        <v>0</v>
      </c>
      <c r="L70" s="26" t="str">
        <f t="shared" ref="L70:L133" si="8">IF(H70&lt;32, "3/4",IF(H70&lt;56, "1", IF(H70&lt;124," 1 1/2",IF(H70&gt;124,"2"))))</f>
        <v>3/4</v>
      </c>
      <c r="M70" s="37">
        <f>Main!$G$8-0.0001306*N70^2 * F70*(1+3.6/VLOOKUP(L70,Calculations!$B$4:$F$15,2,FALSE))/(3600*Main!$C$7*VLOOKUP(L70,Calculations!$B$4:$F$15,2,FALSE)^5)</f>
        <v>0.14820436411902377</v>
      </c>
      <c r="N70" s="37">
        <f t="shared" si="6"/>
        <v>0</v>
      </c>
      <c r="O70" s="37">
        <f>IF(H70&lt;32,SteamProperties!$F$24*Radiators!F70,IF(H70&lt;56,SteamProperties!$F$25*Radiators!F70,SteamProperties!$F$26*Radiators!F70))</f>
        <v>0</v>
      </c>
      <c r="P70" s="37">
        <f>IF(H70&lt;32,Calculations!$F$5*Radiators!F70,IF(H70&lt;56,Calculations!$F$6*Radiators!F70,Calculations!$F$7*Radiators!F70))</f>
        <v>0</v>
      </c>
      <c r="Q70" s="37">
        <f t="shared" si="7"/>
        <v>0</v>
      </c>
    </row>
    <row r="71" spans="2:17">
      <c r="B71" s="33"/>
      <c r="C71" s="34"/>
      <c r="D71" s="34"/>
      <c r="E71" s="34"/>
      <c r="F71" s="34"/>
      <c r="G71" s="34"/>
      <c r="H71" s="34">
        <f>IFERROR(IF(B71="Column",INDEX(RadCompList!$C$4:$G$13,MATCH(C71,RadCompList!$B$4:$B$13),MATCH(Radiators!D71,RadCompList!$C$3:$G$3)),IF(B71="Tube",INDEX(RadCompList!$C$16:$I$22,MATCH(C71,RadCompList!$B$16:$B$22),MATCH(Radiators!D71,RadCompList!$C$15:$I$15)),IF(B71="Cast Rad/Conv",INDEX(RadCompList!$C$28:$D$28,MATCH(C71,RadCompList!$B$28),MATCH(Radiators!D71,RadCompList!$C$27:$D$27)),IF(B71="Copper Cabinet",(INDEX(RadCompList!$E$39:$J$78,MATCH(Radiators!D71,RadCompList!$D$39:$D$78,0),MATCH(C71,RadCompList!$E$38:$J$38,0))),0))))*E71,0)*$A$2</f>
        <v>0</v>
      </c>
      <c r="I71" s="34">
        <f t="shared" si="5"/>
        <v>0</v>
      </c>
      <c r="J71" s="35">
        <f>IFERROR(VLOOKUP(G71,VentList!$A$1:$D$198,2,FALSE),0)</f>
        <v>0</v>
      </c>
      <c r="K71" s="26">
        <f>IFERROR(VLOOKUP(B71,RadCompList!$P$3:$Q$6,2,FALSE)*H71,0)</f>
        <v>0</v>
      </c>
      <c r="L71" s="26" t="str">
        <f t="shared" si="8"/>
        <v>3/4</v>
      </c>
      <c r="M71" s="37">
        <f>Main!$G$8-0.0001306*N71^2 * F71*(1+3.6/VLOOKUP(L71,Calculations!$B$4:$F$15,2,FALSE))/(3600*Main!$C$7*VLOOKUP(L71,Calculations!$B$4:$F$15,2,FALSE)^5)</f>
        <v>0.14820436411902377</v>
      </c>
      <c r="N71" s="37">
        <f t="shared" si="6"/>
        <v>0</v>
      </c>
      <c r="O71" s="37">
        <f>IF(H71&lt;32,SteamProperties!$F$24*Radiators!F71,IF(H71&lt;56,SteamProperties!$F$25*Radiators!F71,SteamProperties!$F$26*Radiators!F71))</f>
        <v>0</v>
      </c>
      <c r="P71" s="37">
        <f>IF(H71&lt;32,Calculations!$F$5*Radiators!F71,IF(H71&lt;56,Calculations!$F$6*Radiators!F71,Calculations!$F$7*Radiators!F71))</f>
        <v>0</v>
      </c>
      <c r="Q71" s="37">
        <f t="shared" si="7"/>
        <v>0</v>
      </c>
    </row>
    <row r="72" spans="2:17">
      <c r="B72" s="33"/>
      <c r="C72" s="34"/>
      <c r="D72" s="34"/>
      <c r="E72" s="34"/>
      <c r="F72" s="34"/>
      <c r="G72" s="34"/>
      <c r="H72" s="34">
        <f>IFERROR(IF(B72="Column",INDEX(RadCompList!$C$4:$G$13,MATCH(C72,RadCompList!$B$4:$B$13),MATCH(Radiators!D72,RadCompList!$C$3:$G$3)),IF(B72="Tube",INDEX(RadCompList!$C$16:$I$22,MATCH(C72,RadCompList!$B$16:$B$22),MATCH(Radiators!D72,RadCompList!$C$15:$I$15)),IF(B72="Cast Rad/Conv",INDEX(RadCompList!$C$28:$D$28,MATCH(C72,RadCompList!$B$28),MATCH(Radiators!D72,RadCompList!$C$27:$D$27)),IF(B72="Copper Cabinet",(INDEX(RadCompList!$E$39:$J$78,MATCH(Radiators!D72,RadCompList!$D$39:$D$78,0),MATCH(C72,RadCompList!$E$38:$J$38,0))),0))))*E72,0)*$A$2</f>
        <v>0</v>
      </c>
      <c r="I72" s="34">
        <f t="shared" si="5"/>
        <v>0</v>
      </c>
      <c r="J72" s="35">
        <f>IFERROR(VLOOKUP(G72,VentList!$A$1:$D$198,2,FALSE),0)</f>
        <v>0</v>
      </c>
      <c r="K72" s="26">
        <f>IFERROR(VLOOKUP(B72,RadCompList!$P$3:$Q$6,2,FALSE)*H72,0)</f>
        <v>0</v>
      </c>
      <c r="L72" s="26" t="str">
        <f t="shared" si="8"/>
        <v>3/4</v>
      </c>
      <c r="M72" s="37">
        <f>Main!$G$8-0.0001306*N72^2 * F72*(1+3.6/VLOOKUP(L72,Calculations!$B$4:$F$15,2,FALSE))/(3600*Main!$C$7*VLOOKUP(L72,Calculations!$B$4:$F$15,2,FALSE)^5)</f>
        <v>0.14820436411902377</v>
      </c>
      <c r="N72" s="37">
        <f t="shared" si="6"/>
        <v>0</v>
      </c>
      <c r="O72" s="37">
        <f>IF(H72&lt;32,SteamProperties!$F$24*Radiators!F72,IF(H72&lt;56,SteamProperties!$F$25*Radiators!F72,SteamProperties!$F$26*Radiators!F72))</f>
        <v>0</v>
      </c>
      <c r="P72" s="37">
        <f>IF(H72&lt;32,Calculations!$F$5*Radiators!F72,IF(H72&lt;56,Calculations!$F$6*Radiators!F72,Calculations!$F$7*Radiators!F72))</f>
        <v>0</v>
      </c>
      <c r="Q72" s="37">
        <f t="shared" si="7"/>
        <v>0</v>
      </c>
    </row>
    <row r="73" spans="2:17">
      <c r="B73" s="33"/>
      <c r="C73" s="34"/>
      <c r="D73" s="34"/>
      <c r="E73" s="34"/>
      <c r="F73" s="34"/>
      <c r="G73" s="34"/>
      <c r="H73" s="34">
        <f>IFERROR(IF(B73="Column",INDEX(RadCompList!$C$4:$G$13,MATCH(C73,RadCompList!$B$4:$B$13),MATCH(Radiators!D73,RadCompList!$C$3:$G$3)),IF(B73="Tube",INDEX(RadCompList!$C$16:$I$22,MATCH(C73,RadCompList!$B$16:$B$22),MATCH(Radiators!D73,RadCompList!$C$15:$I$15)),IF(B73="Cast Rad/Conv",INDEX(RadCompList!$C$28:$D$28,MATCH(C73,RadCompList!$B$28),MATCH(Radiators!D73,RadCompList!$C$27:$D$27)),IF(B73="Copper Cabinet",(INDEX(RadCompList!$E$39:$J$78,MATCH(Radiators!D73,RadCompList!$D$39:$D$78,0),MATCH(C73,RadCompList!$E$38:$J$38,0))),0))))*E73,0)*$A$2</f>
        <v>0</v>
      </c>
      <c r="I73" s="34">
        <f t="shared" si="5"/>
        <v>0</v>
      </c>
      <c r="J73" s="35">
        <f>IFERROR(VLOOKUP(G73,VentList!$A$1:$D$198,2,FALSE),0)</f>
        <v>0</v>
      </c>
      <c r="K73" s="26">
        <f>IFERROR(VLOOKUP(B73,RadCompList!$P$3:$Q$6,2,FALSE)*H73,0)</f>
        <v>0</v>
      </c>
      <c r="L73" s="26" t="str">
        <f t="shared" si="8"/>
        <v>3/4</v>
      </c>
      <c r="M73" s="37">
        <f>Main!$G$8-0.0001306*N73^2 * F73*(1+3.6/VLOOKUP(L73,Calculations!$B$4:$F$15,2,FALSE))/(3600*Main!$C$7*VLOOKUP(L73,Calculations!$B$4:$F$15,2,FALSE)^5)</f>
        <v>0.14820436411902377</v>
      </c>
      <c r="N73" s="37">
        <f t="shared" si="6"/>
        <v>0</v>
      </c>
      <c r="O73" s="37">
        <f>IF(H73&lt;32,SteamProperties!$F$24*Radiators!F73,IF(H73&lt;56,SteamProperties!$F$25*Radiators!F73,SteamProperties!$F$26*Radiators!F73))</f>
        <v>0</v>
      </c>
      <c r="P73" s="37">
        <f>IF(H73&lt;32,Calculations!$F$5*Radiators!F73,IF(H73&lt;56,Calculations!$F$6*Radiators!F73,Calculations!$F$7*Radiators!F73))</f>
        <v>0</v>
      </c>
      <c r="Q73" s="37">
        <f t="shared" si="7"/>
        <v>0</v>
      </c>
    </row>
    <row r="74" spans="2:17">
      <c r="B74" s="33"/>
      <c r="C74" s="34"/>
      <c r="D74" s="34"/>
      <c r="E74" s="34"/>
      <c r="F74" s="34"/>
      <c r="G74" s="34"/>
      <c r="H74" s="34">
        <f>IFERROR(IF(B74="Column",INDEX(RadCompList!$C$4:$G$13,MATCH(C74,RadCompList!$B$4:$B$13),MATCH(Radiators!D74,RadCompList!$C$3:$G$3)),IF(B74="Tube",INDEX(RadCompList!$C$16:$I$22,MATCH(C74,RadCompList!$B$16:$B$22),MATCH(Radiators!D74,RadCompList!$C$15:$I$15)),IF(B74="Cast Rad/Conv",INDEX(RadCompList!$C$28:$D$28,MATCH(C74,RadCompList!$B$28),MATCH(Radiators!D74,RadCompList!$C$27:$D$27)),IF(B74="Copper Cabinet",(INDEX(RadCompList!$E$39:$J$78,MATCH(Radiators!D74,RadCompList!$D$39:$D$78,0),MATCH(C74,RadCompList!$E$38:$J$38,0))),0))))*E74,0)*$A$2</f>
        <v>0</v>
      </c>
      <c r="I74" s="34">
        <f t="shared" si="5"/>
        <v>0</v>
      </c>
      <c r="J74" s="35">
        <f>IFERROR(VLOOKUP(G74,VentList!$A$1:$D$198,2,FALSE),0)</f>
        <v>0</v>
      </c>
      <c r="K74" s="26">
        <f>IFERROR(VLOOKUP(B74,RadCompList!$P$3:$Q$6,2,FALSE)*H74,0)</f>
        <v>0</v>
      </c>
      <c r="L74" s="26" t="str">
        <f t="shared" si="8"/>
        <v>3/4</v>
      </c>
      <c r="M74" s="37">
        <f>Main!$G$8-0.0001306*N74^2 * F74*(1+3.6/VLOOKUP(L74,Calculations!$B$4:$F$15,2,FALSE))/(3600*Main!$C$7*VLOOKUP(L74,Calculations!$B$4:$F$15,2,FALSE)^5)</f>
        <v>0.14820436411902377</v>
      </c>
      <c r="N74" s="37">
        <f t="shared" si="6"/>
        <v>0</v>
      </c>
      <c r="O74" s="37">
        <f>IF(H74&lt;32,SteamProperties!$F$24*Radiators!F74,IF(H74&lt;56,SteamProperties!$F$25*Radiators!F74,SteamProperties!$F$26*Radiators!F74))</f>
        <v>0</v>
      </c>
      <c r="P74" s="37">
        <f>IF(H74&lt;32,Calculations!$F$5*Radiators!F74,IF(H74&lt;56,Calculations!$F$6*Radiators!F74,Calculations!$F$7*Radiators!F74))</f>
        <v>0</v>
      </c>
      <c r="Q74" s="37">
        <f t="shared" si="7"/>
        <v>0</v>
      </c>
    </row>
    <row r="75" spans="2:17">
      <c r="B75" s="33"/>
      <c r="C75" s="34"/>
      <c r="D75" s="34"/>
      <c r="E75" s="34"/>
      <c r="F75" s="34"/>
      <c r="G75" s="34"/>
      <c r="H75" s="34">
        <f>IFERROR(IF(B75="Column",INDEX(RadCompList!$C$4:$G$13,MATCH(C75,RadCompList!$B$4:$B$13),MATCH(Radiators!D75,RadCompList!$C$3:$G$3)),IF(B75="Tube",INDEX(RadCompList!$C$16:$I$22,MATCH(C75,RadCompList!$B$16:$B$22),MATCH(Radiators!D75,RadCompList!$C$15:$I$15)),IF(B75="Cast Rad/Conv",INDEX(RadCompList!$C$28:$D$28,MATCH(C75,RadCompList!$B$28),MATCH(Radiators!D75,RadCompList!$C$27:$D$27)),IF(B75="Copper Cabinet",(INDEX(RadCompList!$E$39:$J$78,MATCH(Radiators!D75,RadCompList!$D$39:$D$78,0),MATCH(C75,RadCompList!$E$38:$J$38,0))),0))))*E75,0)*$A$2</f>
        <v>0</v>
      </c>
      <c r="I75" s="34">
        <f t="shared" si="5"/>
        <v>0</v>
      </c>
      <c r="J75" s="35">
        <f>IFERROR(VLOOKUP(G75,VentList!$A$1:$D$198,2,FALSE),0)</f>
        <v>0</v>
      </c>
      <c r="K75" s="26">
        <f>IFERROR(VLOOKUP(B75,RadCompList!$P$3:$Q$6,2,FALSE)*H75,0)</f>
        <v>0</v>
      </c>
      <c r="L75" s="26" t="str">
        <f t="shared" si="8"/>
        <v>3/4</v>
      </c>
      <c r="M75" s="37">
        <f>Main!$G$8-0.0001306*N75^2 * F75*(1+3.6/VLOOKUP(L75,Calculations!$B$4:$F$15,2,FALSE))/(3600*Main!$C$7*VLOOKUP(L75,Calculations!$B$4:$F$15,2,FALSE)^5)</f>
        <v>0.14820436411902377</v>
      </c>
      <c r="N75" s="37">
        <f t="shared" si="6"/>
        <v>0</v>
      </c>
      <c r="O75" s="37">
        <f>IF(H75&lt;32,SteamProperties!$F$24*Radiators!F75,IF(H75&lt;56,SteamProperties!$F$25*Radiators!F75,SteamProperties!$F$26*Radiators!F75))</f>
        <v>0</v>
      </c>
      <c r="P75" s="37">
        <f>IF(H75&lt;32,Calculations!$F$5*Radiators!F75,IF(H75&lt;56,Calculations!$F$6*Radiators!F75,Calculations!$F$7*Radiators!F75))</f>
        <v>0</v>
      </c>
      <c r="Q75" s="37">
        <f t="shared" si="7"/>
        <v>0</v>
      </c>
    </row>
    <row r="76" spans="2:17">
      <c r="B76" s="33"/>
      <c r="C76" s="34"/>
      <c r="D76" s="34"/>
      <c r="E76" s="34"/>
      <c r="F76" s="34"/>
      <c r="G76" s="34"/>
      <c r="H76" s="34">
        <f>IFERROR(IF(B76="Column",INDEX(RadCompList!$C$4:$G$13,MATCH(C76,RadCompList!$B$4:$B$13),MATCH(Radiators!D76,RadCompList!$C$3:$G$3)),IF(B76="Tube",INDEX(RadCompList!$C$16:$I$22,MATCH(C76,RadCompList!$B$16:$B$22),MATCH(Radiators!D76,RadCompList!$C$15:$I$15)),IF(B76="Cast Rad/Conv",INDEX(RadCompList!$C$28:$D$28,MATCH(C76,RadCompList!$B$28),MATCH(Radiators!D76,RadCompList!$C$27:$D$27)),IF(B76="Copper Cabinet",(INDEX(RadCompList!$E$39:$J$78,MATCH(Radiators!D76,RadCompList!$D$39:$D$78,0),MATCH(C76,RadCompList!$E$38:$J$38,0))),0))))*E76,0)*$A$2</f>
        <v>0</v>
      </c>
      <c r="I76" s="34">
        <f t="shared" si="5"/>
        <v>0</v>
      </c>
      <c r="J76" s="35">
        <f>IFERROR(VLOOKUP(G76,VentList!$A$1:$D$198,2,FALSE),0)</f>
        <v>0</v>
      </c>
      <c r="K76" s="26">
        <f>IFERROR(VLOOKUP(B76,RadCompList!$P$3:$Q$6,2,FALSE)*H76,0)</f>
        <v>0</v>
      </c>
      <c r="L76" s="26" t="str">
        <f t="shared" si="8"/>
        <v>3/4</v>
      </c>
      <c r="M76" s="37">
        <f>Main!$G$8-0.0001306*N76^2 * F76*(1+3.6/VLOOKUP(L76,Calculations!$B$4:$F$15,2,FALSE))/(3600*Main!$C$7*VLOOKUP(L76,Calculations!$B$4:$F$15,2,FALSE)^5)</f>
        <v>0.14820436411902377</v>
      </c>
      <c r="N76" s="37">
        <f t="shared" si="6"/>
        <v>0</v>
      </c>
      <c r="O76" s="37">
        <f>IF(H76&lt;32,SteamProperties!$F$24*Radiators!F76,IF(H76&lt;56,SteamProperties!$F$25*Radiators!F76,SteamProperties!$F$26*Radiators!F76))</f>
        <v>0</v>
      </c>
      <c r="P76" s="37">
        <f>IF(H76&lt;32,Calculations!$F$5*Radiators!F76,IF(H76&lt;56,Calculations!$F$6*Radiators!F76,Calculations!$F$7*Radiators!F76))</f>
        <v>0</v>
      </c>
      <c r="Q76" s="37">
        <f t="shared" si="7"/>
        <v>0</v>
      </c>
    </row>
    <row r="77" spans="2:17">
      <c r="B77" s="33"/>
      <c r="C77" s="34"/>
      <c r="D77" s="34"/>
      <c r="E77" s="34"/>
      <c r="F77" s="34"/>
      <c r="G77" s="34"/>
      <c r="H77" s="34">
        <f>IFERROR(IF(B77="Column",INDEX(RadCompList!$C$4:$G$13,MATCH(C77,RadCompList!$B$4:$B$13),MATCH(Radiators!D77,RadCompList!$C$3:$G$3)),IF(B77="Tube",INDEX(RadCompList!$C$16:$I$22,MATCH(C77,RadCompList!$B$16:$B$22),MATCH(Radiators!D77,RadCompList!$C$15:$I$15)),IF(B77="Cast Rad/Conv",INDEX(RadCompList!$C$28:$D$28,MATCH(C77,RadCompList!$B$28),MATCH(Radiators!D77,RadCompList!$C$27:$D$27)),IF(B77="Copper Cabinet",(INDEX(RadCompList!$E$39:$J$78,MATCH(Radiators!D77,RadCompList!$D$39:$D$78,0),MATCH(C77,RadCompList!$E$38:$J$38,0))),0))))*E77,0)*$A$2</f>
        <v>0</v>
      </c>
      <c r="I77" s="34">
        <f t="shared" si="5"/>
        <v>0</v>
      </c>
      <c r="J77" s="35">
        <f>IFERROR(VLOOKUP(G77,VentList!$A$1:$D$198,2,FALSE),0)</f>
        <v>0</v>
      </c>
      <c r="K77" s="26">
        <f>IFERROR(VLOOKUP(B77,RadCompList!$P$3:$Q$6,2,FALSE)*H77,0)</f>
        <v>0</v>
      </c>
      <c r="L77" s="26" t="str">
        <f t="shared" si="8"/>
        <v>3/4</v>
      </c>
      <c r="M77" s="37">
        <f>Main!$G$8-0.0001306*N77^2 * F77*(1+3.6/VLOOKUP(L77,Calculations!$B$4:$F$15,2,FALSE))/(3600*Main!$C$7*VLOOKUP(L77,Calculations!$B$4:$F$15,2,FALSE)^5)</f>
        <v>0.14820436411902377</v>
      </c>
      <c r="N77" s="37">
        <f t="shared" si="6"/>
        <v>0</v>
      </c>
      <c r="O77" s="37">
        <f>IF(H77&lt;32,SteamProperties!$F$24*Radiators!F77,IF(H77&lt;56,SteamProperties!$F$25*Radiators!F77,SteamProperties!$F$26*Radiators!F77))</f>
        <v>0</v>
      </c>
      <c r="P77" s="37">
        <f>IF(H77&lt;32,Calculations!$F$5*Radiators!F77,IF(H77&lt;56,Calculations!$F$6*Radiators!F77,Calculations!$F$7*Radiators!F77))</f>
        <v>0</v>
      </c>
      <c r="Q77" s="37">
        <f t="shared" si="7"/>
        <v>0</v>
      </c>
    </row>
    <row r="78" spans="2:17">
      <c r="B78" s="33"/>
      <c r="C78" s="34"/>
      <c r="D78" s="34"/>
      <c r="E78" s="34"/>
      <c r="F78" s="34"/>
      <c r="G78" s="34"/>
      <c r="H78" s="34">
        <f>IFERROR(IF(B78="Column",INDEX(RadCompList!$C$4:$G$13,MATCH(C78,RadCompList!$B$4:$B$13),MATCH(Radiators!D78,RadCompList!$C$3:$G$3)),IF(B78="Tube",INDEX(RadCompList!$C$16:$I$22,MATCH(C78,RadCompList!$B$16:$B$22),MATCH(Radiators!D78,RadCompList!$C$15:$I$15)),IF(B78="Cast Rad/Conv",INDEX(RadCompList!$C$28:$D$28,MATCH(C78,RadCompList!$B$28),MATCH(Radiators!D78,RadCompList!$C$27:$D$27)),IF(B78="Copper Cabinet",(INDEX(RadCompList!$E$39:$J$78,MATCH(Radiators!D78,RadCompList!$D$39:$D$78,0),MATCH(C78,RadCompList!$E$38:$J$38,0))),0))))*E78,0)*$A$2</f>
        <v>0</v>
      </c>
      <c r="I78" s="34">
        <f t="shared" si="5"/>
        <v>0</v>
      </c>
      <c r="J78" s="35">
        <f>IFERROR(VLOOKUP(G78,VentList!$A$1:$D$198,2,FALSE),0)</f>
        <v>0</v>
      </c>
      <c r="K78" s="26">
        <f>IFERROR(VLOOKUP(B78,RadCompList!$P$3:$Q$6,2,FALSE)*H78,0)</f>
        <v>0</v>
      </c>
      <c r="L78" s="26" t="str">
        <f t="shared" si="8"/>
        <v>3/4</v>
      </c>
      <c r="M78" s="37">
        <f>Main!$G$8-0.0001306*N78^2 * F78*(1+3.6/VLOOKUP(L78,Calculations!$B$4:$F$15,2,FALSE))/(3600*Main!$C$7*VLOOKUP(L78,Calculations!$B$4:$F$15,2,FALSE)^5)</f>
        <v>0.14820436411902377</v>
      </c>
      <c r="N78" s="37">
        <f t="shared" si="6"/>
        <v>0</v>
      </c>
      <c r="O78" s="37">
        <f>IF(H78&lt;32,SteamProperties!$F$24*Radiators!F78,IF(H78&lt;56,SteamProperties!$F$25*Radiators!F78,SteamProperties!$F$26*Radiators!F78))</f>
        <v>0</v>
      </c>
      <c r="P78" s="37">
        <f>IF(H78&lt;32,Calculations!$F$5*Radiators!F78,IF(H78&lt;56,Calculations!$F$6*Radiators!F78,Calculations!$F$7*Radiators!F78))</f>
        <v>0</v>
      </c>
      <c r="Q78" s="37">
        <f t="shared" si="7"/>
        <v>0</v>
      </c>
    </row>
    <row r="79" spans="2:17">
      <c r="B79" s="33"/>
      <c r="C79" s="34"/>
      <c r="D79" s="34"/>
      <c r="E79" s="34"/>
      <c r="F79" s="34"/>
      <c r="G79" s="34"/>
      <c r="H79" s="34">
        <f>IFERROR(IF(B79="Column",INDEX(RadCompList!$C$4:$G$13,MATCH(C79,RadCompList!$B$4:$B$13),MATCH(Radiators!D79,RadCompList!$C$3:$G$3)),IF(B79="Tube",INDEX(RadCompList!$C$16:$I$22,MATCH(C79,RadCompList!$B$16:$B$22),MATCH(Radiators!D79,RadCompList!$C$15:$I$15)),IF(B79="Cast Rad/Conv",INDEX(RadCompList!$C$28:$D$28,MATCH(C79,RadCompList!$B$28),MATCH(Radiators!D79,RadCompList!$C$27:$D$27)),IF(B79="Copper Cabinet",(INDEX(RadCompList!$E$39:$J$78,MATCH(Radiators!D79,RadCompList!$D$39:$D$78,0),MATCH(C79,RadCompList!$E$38:$J$38,0))),0))))*E79,0)*$A$2</f>
        <v>0</v>
      </c>
      <c r="I79" s="34">
        <f t="shared" si="5"/>
        <v>0</v>
      </c>
      <c r="J79" s="35">
        <f>IFERROR(VLOOKUP(G79,VentList!$A$1:$D$198,2,FALSE),0)</f>
        <v>0</v>
      </c>
      <c r="K79" s="26">
        <f>IFERROR(VLOOKUP(B79,RadCompList!$P$3:$Q$6,2,FALSE)*H79,0)</f>
        <v>0</v>
      </c>
      <c r="L79" s="26" t="str">
        <f t="shared" si="8"/>
        <v>3/4</v>
      </c>
      <c r="M79" s="37">
        <f>Main!$G$8-0.0001306*N79^2 * F79*(1+3.6/VLOOKUP(L79,Calculations!$B$4:$F$15,2,FALSE))/(3600*Main!$C$7*VLOOKUP(L79,Calculations!$B$4:$F$15,2,FALSE)^5)</f>
        <v>0.14820436411902377</v>
      </c>
      <c r="N79" s="37">
        <f t="shared" si="6"/>
        <v>0</v>
      </c>
      <c r="O79" s="37">
        <f>IF(H79&lt;32,SteamProperties!$F$24*Radiators!F79,IF(H79&lt;56,SteamProperties!$F$25*Radiators!F79,SteamProperties!$F$26*Radiators!F79))</f>
        <v>0</v>
      </c>
      <c r="P79" s="37">
        <f>IF(H79&lt;32,Calculations!$F$5*Radiators!F79,IF(H79&lt;56,Calculations!$F$6*Radiators!F79,Calculations!$F$7*Radiators!F79))</f>
        <v>0</v>
      </c>
      <c r="Q79" s="37">
        <f t="shared" si="7"/>
        <v>0</v>
      </c>
    </row>
    <row r="80" spans="2:17">
      <c r="B80" s="33"/>
      <c r="C80" s="34"/>
      <c r="D80" s="34"/>
      <c r="E80" s="34"/>
      <c r="F80" s="34"/>
      <c r="G80" s="34"/>
      <c r="H80" s="34">
        <f>IFERROR(IF(B80="Column",INDEX(RadCompList!$C$4:$G$13,MATCH(C80,RadCompList!$B$4:$B$13),MATCH(Radiators!D80,RadCompList!$C$3:$G$3)),IF(B80="Tube",INDEX(RadCompList!$C$16:$I$22,MATCH(C80,RadCompList!$B$16:$B$22),MATCH(Radiators!D80,RadCompList!$C$15:$I$15)),IF(B80="Cast Rad/Conv",INDEX(RadCompList!$C$28:$D$28,MATCH(C80,RadCompList!$B$28),MATCH(Radiators!D80,RadCompList!$C$27:$D$27)),IF(B80="Copper Cabinet",(INDEX(RadCompList!$E$39:$J$78,MATCH(Radiators!D80,RadCompList!$D$39:$D$78,0),MATCH(C80,RadCompList!$E$38:$J$38,0))),0))))*E80,0)*$A$2</f>
        <v>0</v>
      </c>
      <c r="I80" s="34">
        <f t="shared" si="5"/>
        <v>0</v>
      </c>
      <c r="J80" s="35">
        <f>IFERROR(VLOOKUP(G80,VentList!$A$1:$D$198,2,FALSE),0)</f>
        <v>0</v>
      </c>
      <c r="K80" s="26">
        <f>IFERROR(VLOOKUP(B80,RadCompList!$P$3:$Q$6,2,FALSE)*H80,0)</f>
        <v>0</v>
      </c>
      <c r="L80" s="26" t="str">
        <f t="shared" si="8"/>
        <v>3/4</v>
      </c>
      <c r="M80" s="37">
        <f>Main!$G$8-0.0001306*N80^2 * F80*(1+3.6/VLOOKUP(L80,Calculations!$B$4:$F$15,2,FALSE))/(3600*Main!$C$7*VLOOKUP(L80,Calculations!$B$4:$F$15,2,FALSE)^5)</f>
        <v>0.14820436411902377</v>
      </c>
      <c r="N80" s="37">
        <f t="shared" si="6"/>
        <v>0</v>
      </c>
      <c r="O80" s="37">
        <f>IF(H80&lt;32,SteamProperties!$F$24*Radiators!F80,IF(H80&lt;56,SteamProperties!$F$25*Radiators!F80,SteamProperties!$F$26*Radiators!F80))</f>
        <v>0</v>
      </c>
      <c r="P80" s="37">
        <f>IF(H80&lt;32,Calculations!$F$5*Radiators!F80,IF(H80&lt;56,Calculations!$F$6*Radiators!F80,Calculations!$F$7*Radiators!F80))</f>
        <v>0</v>
      </c>
      <c r="Q80" s="37">
        <f t="shared" si="7"/>
        <v>0</v>
      </c>
    </row>
    <row r="81" spans="2:17">
      <c r="B81" s="33"/>
      <c r="C81" s="34"/>
      <c r="D81" s="34"/>
      <c r="E81" s="34"/>
      <c r="F81" s="34"/>
      <c r="G81" s="34"/>
      <c r="H81" s="34">
        <f>IFERROR(IF(B81="Column",INDEX(RadCompList!$C$4:$G$13,MATCH(C81,RadCompList!$B$4:$B$13),MATCH(Radiators!D81,RadCompList!$C$3:$G$3)),IF(B81="Tube",INDEX(RadCompList!$C$16:$I$22,MATCH(C81,RadCompList!$B$16:$B$22),MATCH(Radiators!D81,RadCompList!$C$15:$I$15)),IF(B81="Cast Rad/Conv",INDEX(RadCompList!$C$28:$D$28,MATCH(C81,RadCompList!$B$28),MATCH(Radiators!D81,RadCompList!$C$27:$D$27)),IF(B81="Copper Cabinet",(INDEX(RadCompList!$E$39:$J$78,MATCH(Radiators!D81,RadCompList!$D$39:$D$78,0),MATCH(C81,RadCompList!$E$38:$J$38,0))),0))))*E81,0)*$A$2</f>
        <v>0</v>
      </c>
      <c r="I81" s="34">
        <f t="shared" si="5"/>
        <v>0</v>
      </c>
      <c r="J81" s="35">
        <f>IFERROR(VLOOKUP(G81,VentList!$A$1:$D$198,2,FALSE),0)</f>
        <v>0</v>
      </c>
      <c r="K81" s="26">
        <f>IFERROR(VLOOKUP(B81,RadCompList!$P$3:$Q$6,2,FALSE)*H81,0)</f>
        <v>0</v>
      </c>
      <c r="L81" s="26" t="str">
        <f t="shared" si="8"/>
        <v>3/4</v>
      </c>
      <c r="M81" s="37">
        <f>Main!$G$8-0.0001306*N81^2 * F81*(1+3.6/VLOOKUP(L81,Calculations!$B$4:$F$15,2,FALSE))/(3600*Main!$C$7*VLOOKUP(L81,Calculations!$B$4:$F$15,2,FALSE)^5)</f>
        <v>0.14820436411902377</v>
      </c>
      <c r="N81" s="37">
        <f t="shared" si="6"/>
        <v>0</v>
      </c>
      <c r="O81" s="37">
        <f>IF(H81&lt;32,SteamProperties!$F$24*Radiators!F81,IF(H81&lt;56,SteamProperties!$F$25*Radiators!F81,SteamProperties!$F$26*Radiators!F81))</f>
        <v>0</v>
      </c>
      <c r="P81" s="37">
        <f>IF(H81&lt;32,Calculations!$F$5*Radiators!F81,IF(H81&lt;56,Calculations!$F$6*Radiators!F81,Calculations!$F$7*Radiators!F81))</f>
        <v>0</v>
      </c>
      <c r="Q81" s="37">
        <f t="shared" si="7"/>
        <v>0</v>
      </c>
    </row>
    <row r="82" spans="2:17">
      <c r="B82" s="33"/>
      <c r="C82" s="34"/>
      <c r="D82" s="34"/>
      <c r="E82" s="34"/>
      <c r="F82" s="34"/>
      <c r="G82" s="34"/>
      <c r="H82" s="34">
        <f>IFERROR(IF(B82="Column",INDEX(RadCompList!$C$4:$G$13,MATCH(C82,RadCompList!$B$4:$B$13),MATCH(Radiators!D82,RadCompList!$C$3:$G$3)),IF(B82="Tube",INDEX(RadCompList!$C$16:$I$22,MATCH(C82,RadCompList!$B$16:$B$22),MATCH(Radiators!D82,RadCompList!$C$15:$I$15)),IF(B82="Cast Rad/Conv",INDEX(RadCompList!$C$28:$D$28,MATCH(C82,RadCompList!$B$28),MATCH(Radiators!D82,RadCompList!$C$27:$D$27)),IF(B82="Copper Cabinet",(INDEX(RadCompList!$E$39:$J$78,MATCH(Radiators!D82,RadCompList!$D$39:$D$78,0),MATCH(C82,RadCompList!$E$38:$J$38,0))),0))))*E82,0)*$A$2</f>
        <v>0</v>
      </c>
      <c r="I82" s="34">
        <f t="shared" si="5"/>
        <v>0</v>
      </c>
      <c r="J82" s="35">
        <f>IFERROR(VLOOKUP(G82,VentList!$A$1:$D$198,2,FALSE),0)</f>
        <v>0</v>
      </c>
      <c r="K82" s="26">
        <f>IFERROR(VLOOKUP(B82,RadCompList!$P$3:$Q$6,2,FALSE)*H82,0)</f>
        <v>0</v>
      </c>
      <c r="L82" s="26" t="str">
        <f t="shared" si="8"/>
        <v>3/4</v>
      </c>
      <c r="M82" s="37">
        <f>Main!$G$8-0.0001306*N82^2 * F82*(1+3.6/VLOOKUP(L82,Calculations!$B$4:$F$15,2,FALSE))/(3600*Main!$C$7*VLOOKUP(L82,Calculations!$B$4:$F$15,2,FALSE)^5)</f>
        <v>0.14820436411902377</v>
      </c>
      <c r="N82" s="37">
        <f t="shared" si="6"/>
        <v>0</v>
      </c>
      <c r="O82" s="37">
        <f>IF(H82&lt;32,SteamProperties!$F$24*Radiators!F82,IF(H82&lt;56,SteamProperties!$F$25*Radiators!F82,SteamProperties!$F$26*Radiators!F82))</f>
        <v>0</v>
      </c>
      <c r="P82" s="37">
        <f>IF(H82&lt;32,Calculations!$F$5*Radiators!F82,IF(H82&lt;56,Calculations!$F$6*Radiators!F82,Calculations!$F$7*Radiators!F82))</f>
        <v>0</v>
      </c>
      <c r="Q82" s="37">
        <f t="shared" si="7"/>
        <v>0</v>
      </c>
    </row>
    <row r="83" spans="2:17">
      <c r="B83" s="33"/>
      <c r="C83" s="34"/>
      <c r="D83" s="34"/>
      <c r="E83" s="34"/>
      <c r="F83" s="34"/>
      <c r="G83" s="34"/>
      <c r="H83" s="34">
        <f>IFERROR(IF(B83="Column",INDEX(RadCompList!$C$4:$G$13,MATCH(C83,RadCompList!$B$4:$B$13),MATCH(Radiators!D83,RadCompList!$C$3:$G$3)),IF(B83="Tube",INDEX(RadCompList!$C$16:$I$22,MATCH(C83,RadCompList!$B$16:$B$22),MATCH(Radiators!D83,RadCompList!$C$15:$I$15)),IF(B83="Cast Rad/Conv",INDEX(RadCompList!$C$28:$D$28,MATCH(C83,RadCompList!$B$28),MATCH(Radiators!D83,RadCompList!$C$27:$D$27)),IF(B83="Copper Cabinet",(INDEX(RadCompList!$E$39:$J$78,MATCH(Radiators!D83,RadCompList!$D$39:$D$78,0),MATCH(C83,RadCompList!$E$38:$J$38,0))),0))))*E83,0)*$A$2</f>
        <v>0</v>
      </c>
      <c r="I83" s="34">
        <f t="shared" si="5"/>
        <v>0</v>
      </c>
      <c r="J83" s="35">
        <f>IFERROR(VLOOKUP(G83,VentList!$A$1:$D$198,2,FALSE),0)</f>
        <v>0</v>
      </c>
      <c r="K83" s="26">
        <f>IFERROR(VLOOKUP(B83,RadCompList!$P$3:$Q$6,2,FALSE)*H83,0)</f>
        <v>0</v>
      </c>
      <c r="L83" s="26" t="str">
        <f t="shared" si="8"/>
        <v>3/4</v>
      </c>
      <c r="M83" s="37">
        <f>Main!$G$8-0.0001306*N83^2 * F83*(1+3.6/VLOOKUP(L83,Calculations!$B$4:$F$15,2,FALSE))/(3600*Main!$C$7*VLOOKUP(L83,Calculations!$B$4:$F$15,2,FALSE)^5)</f>
        <v>0.14820436411902377</v>
      </c>
      <c r="N83" s="37">
        <f t="shared" si="6"/>
        <v>0</v>
      </c>
      <c r="O83" s="37">
        <f>IF(H83&lt;32,SteamProperties!$F$24*Radiators!F83,IF(H83&lt;56,SteamProperties!$F$25*Radiators!F83,SteamProperties!$F$26*Radiators!F83))</f>
        <v>0</v>
      </c>
      <c r="P83" s="37">
        <f>IF(H83&lt;32,Calculations!$F$5*Radiators!F83,IF(H83&lt;56,Calculations!$F$6*Radiators!F83,Calculations!$F$7*Radiators!F83))</f>
        <v>0</v>
      </c>
      <c r="Q83" s="37">
        <f t="shared" si="7"/>
        <v>0</v>
      </c>
    </row>
    <row r="84" spans="2:17">
      <c r="B84" s="33"/>
      <c r="C84" s="34"/>
      <c r="D84" s="34"/>
      <c r="E84" s="34"/>
      <c r="F84" s="34"/>
      <c r="G84" s="34"/>
      <c r="H84" s="34">
        <f>IFERROR(IF(B84="Column",INDEX(RadCompList!$C$4:$G$13,MATCH(C84,RadCompList!$B$4:$B$13),MATCH(Radiators!D84,RadCompList!$C$3:$G$3)),IF(B84="Tube",INDEX(RadCompList!$C$16:$I$22,MATCH(C84,RadCompList!$B$16:$B$22),MATCH(Radiators!D84,RadCompList!$C$15:$I$15)),IF(B84="Cast Rad/Conv",INDEX(RadCompList!$C$28:$D$28,MATCH(C84,RadCompList!$B$28),MATCH(Radiators!D84,RadCompList!$C$27:$D$27)),IF(B84="Copper Cabinet",(INDEX(RadCompList!$E$39:$J$78,MATCH(Radiators!D84,RadCompList!$D$39:$D$78,0),MATCH(C84,RadCompList!$E$38:$J$38,0))),0))))*E84,0)*$A$2</f>
        <v>0</v>
      </c>
      <c r="I84" s="34">
        <f t="shared" si="5"/>
        <v>0</v>
      </c>
      <c r="J84" s="35">
        <f>IFERROR(VLOOKUP(G84,VentList!$A$1:$D$198,2,FALSE),0)</f>
        <v>0</v>
      </c>
      <c r="K84" s="26">
        <f>IFERROR(VLOOKUP(B84,RadCompList!$P$3:$Q$6,2,FALSE)*H84,0)</f>
        <v>0</v>
      </c>
      <c r="L84" s="26" t="str">
        <f t="shared" si="8"/>
        <v>3/4</v>
      </c>
      <c r="M84" s="37">
        <f>Main!$G$8-0.0001306*N84^2 * F84*(1+3.6/VLOOKUP(L84,Calculations!$B$4:$F$15,2,FALSE))/(3600*Main!$C$7*VLOOKUP(L84,Calculations!$B$4:$F$15,2,FALSE)^5)</f>
        <v>0.14820436411902377</v>
      </c>
      <c r="N84" s="37">
        <f t="shared" si="6"/>
        <v>0</v>
      </c>
      <c r="O84" s="37">
        <f>IF(H84&lt;32,SteamProperties!$F$24*Radiators!F84,IF(H84&lt;56,SteamProperties!$F$25*Radiators!F84,SteamProperties!$F$26*Radiators!F84))</f>
        <v>0</v>
      </c>
      <c r="P84" s="37">
        <f>IF(H84&lt;32,Calculations!$F$5*Radiators!F84,IF(H84&lt;56,Calculations!$F$6*Radiators!F84,Calculations!$F$7*Radiators!F84))</f>
        <v>0</v>
      </c>
      <c r="Q84" s="37">
        <f t="shared" si="7"/>
        <v>0</v>
      </c>
    </row>
    <row r="85" spans="2:17">
      <c r="B85" s="33"/>
      <c r="C85" s="34"/>
      <c r="D85" s="34"/>
      <c r="E85" s="34"/>
      <c r="F85" s="34"/>
      <c r="G85" s="34"/>
      <c r="H85" s="34">
        <f>IFERROR(IF(B85="Column",INDEX(RadCompList!$C$4:$G$13,MATCH(C85,RadCompList!$B$4:$B$13),MATCH(Radiators!D85,RadCompList!$C$3:$G$3)),IF(B85="Tube",INDEX(RadCompList!$C$16:$I$22,MATCH(C85,RadCompList!$B$16:$B$22),MATCH(Radiators!D85,RadCompList!$C$15:$I$15)),IF(B85="Cast Rad/Conv",INDEX(RadCompList!$C$28:$D$28,MATCH(C85,RadCompList!$B$28),MATCH(Radiators!D85,RadCompList!$C$27:$D$27)),IF(B85="Copper Cabinet",(INDEX(RadCompList!$E$39:$J$78,MATCH(Radiators!D85,RadCompList!$D$39:$D$78,0),MATCH(C85,RadCompList!$E$38:$J$38,0))),0))))*E85,0)*$A$2</f>
        <v>0</v>
      </c>
      <c r="I85" s="34">
        <f t="shared" si="5"/>
        <v>0</v>
      </c>
      <c r="J85" s="35">
        <f>IFERROR(VLOOKUP(G85,VentList!$A$1:$D$198,2,FALSE),0)</f>
        <v>0</v>
      </c>
      <c r="K85" s="26">
        <f>IFERROR(VLOOKUP(B85,RadCompList!$P$3:$Q$6,2,FALSE)*H85,0)</f>
        <v>0</v>
      </c>
      <c r="L85" s="26" t="str">
        <f t="shared" si="8"/>
        <v>3/4</v>
      </c>
      <c r="M85" s="37">
        <f>Main!$G$8-0.0001306*N85^2 * F85*(1+3.6/VLOOKUP(L85,Calculations!$B$4:$F$15,2,FALSE))/(3600*Main!$C$7*VLOOKUP(L85,Calculations!$B$4:$F$15,2,FALSE)^5)</f>
        <v>0.14820436411902377</v>
      </c>
      <c r="N85" s="37">
        <f t="shared" si="6"/>
        <v>0</v>
      </c>
      <c r="O85" s="37">
        <f>IF(H85&lt;32,SteamProperties!$F$24*Radiators!F85,IF(H85&lt;56,SteamProperties!$F$25*Radiators!F85,SteamProperties!$F$26*Radiators!F85))</f>
        <v>0</v>
      </c>
      <c r="P85" s="37">
        <f>IF(H85&lt;32,Calculations!$F$5*Radiators!F85,IF(H85&lt;56,Calculations!$F$6*Radiators!F85,Calculations!$F$7*Radiators!F85))</f>
        <v>0</v>
      </c>
      <c r="Q85" s="37">
        <f t="shared" si="7"/>
        <v>0</v>
      </c>
    </row>
    <row r="86" spans="2:17">
      <c r="B86" s="33"/>
      <c r="C86" s="34"/>
      <c r="D86" s="34"/>
      <c r="E86" s="34"/>
      <c r="F86" s="34"/>
      <c r="G86" s="34"/>
      <c r="H86" s="34">
        <f>IFERROR(IF(B86="Column",INDEX(RadCompList!$C$4:$G$13,MATCH(C86,RadCompList!$B$4:$B$13),MATCH(Radiators!D86,RadCompList!$C$3:$G$3)),IF(B86="Tube",INDEX(RadCompList!$C$16:$I$22,MATCH(C86,RadCompList!$B$16:$B$22),MATCH(Radiators!D86,RadCompList!$C$15:$I$15)),IF(B86="Cast Rad/Conv",INDEX(RadCompList!$C$28:$D$28,MATCH(C86,RadCompList!$B$28),MATCH(Radiators!D86,RadCompList!$C$27:$D$27)),IF(B86="Copper Cabinet",(INDEX(RadCompList!$E$39:$J$78,MATCH(Radiators!D86,RadCompList!$D$39:$D$78,0),MATCH(C86,RadCompList!$E$38:$J$38,0))),0))))*E86,0)*$A$2</f>
        <v>0</v>
      </c>
      <c r="I86" s="34">
        <f t="shared" si="5"/>
        <v>0</v>
      </c>
      <c r="J86" s="35">
        <f>IFERROR(VLOOKUP(G86,VentList!$A$1:$D$198,2,FALSE),0)</f>
        <v>0</v>
      </c>
      <c r="K86" s="26">
        <f>IFERROR(VLOOKUP(B86,RadCompList!$P$3:$Q$6,2,FALSE)*H86,0)</f>
        <v>0</v>
      </c>
      <c r="L86" s="26" t="str">
        <f t="shared" si="8"/>
        <v>3/4</v>
      </c>
      <c r="M86" s="37">
        <f>Main!$G$8-0.0001306*N86^2 * F86*(1+3.6/VLOOKUP(L86,Calculations!$B$4:$F$15,2,FALSE))/(3600*Main!$C$7*VLOOKUP(L86,Calculations!$B$4:$F$15,2,FALSE)^5)</f>
        <v>0.14820436411902377</v>
      </c>
      <c r="N86" s="37">
        <f t="shared" si="6"/>
        <v>0</v>
      </c>
      <c r="O86" s="37">
        <f>IF(H86&lt;32,SteamProperties!$F$24*Radiators!F86,IF(H86&lt;56,SteamProperties!$F$25*Radiators!F86,SteamProperties!$F$26*Radiators!F86))</f>
        <v>0</v>
      </c>
      <c r="P86" s="37">
        <f>IF(H86&lt;32,Calculations!$F$5*Radiators!F86,IF(H86&lt;56,Calculations!$F$6*Radiators!F86,Calculations!$F$7*Radiators!F86))</f>
        <v>0</v>
      </c>
      <c r="Q86" s="37">
        <f t="shared" si="7"/>
        <v>0</v>
      </c>
    </row>
    <row r="87" spans="2:17">
      <c r="B87" s="33"/>
      <c r="C87" s="34"/>
      <c r="D87" s="34"/>
      <c r="E87" s="34"/>
      <c r="F87" s="34"/>
      <c r="G87" s="34"/>
      <c r="H87" s="34">
        <f>IFERROR(IF(B87="Column",INDEX(RadCompList!$C$4:$G$13,MATCH(C87,RadCompList!$B$4:$B$13),MATCH(Radiators!D87,RadCompList!$C$3:$G$3)),IF(B87="Tube",INDEX(RadCompList!$C$16:$I$22,MATCH(C87,RadCompList!$B$16:$B$22),MATCH(Radiators!D87,RadCompList!$C$15:$I$15)),IF(B87="Cast Rad/Conv",INDEX(RadCompList!$C$28:$D$28,MATCH(C87,RadCompList!$B$28),MATCH(Radiators!D87,RadCompList!$C$27:$D$27)),IF(B87="Copper Cabinet",(INDEX(RadCompList!$E$39:$J$78,MATCH(Radiators!D87,RadCompList!$D$39:$D$78,0),MATCH(C87,RadCompList!$E$38:$J$38,0))),0))))*E87,0)*$A$2</f>
        <v>0</v>
      </c>
      <c r="I87" s="34">
        <f t="shared" si="5"/>
        <v>0</v>
      </c>
      <c r="J87" s="35">
        <f>IFERROR(VLOOKUP(G87,VentList!$A$1:$D$198,2,FALSE),0)</f>
        <v>0</v>
      </c>
      <c r="K87" s="26">
        <f>IFERROR(VLOOKUP(B87,RadCompList!$P$3:$Q$6,2,FALSE)*H87,0)</f>
        <v>0</v>
      </c>
      <c r="L87" s="26" t="str">
        <f t="shared" si="8"/>
        <v>3/4</v>
      </c>
      <c r="M87" s="37">
        <f>Main!$G$8-0.0001306*N87^2 * F87*(1+3.6/VLOOKUP(L87,Calculations!$B$4:$F$15,2,FALSE))/(3600*Main!$C$7*VLOOKUP(L87,Calculations!$B$4:$F$15,2,FALSE)^5)</f>
        <v>0.14820436411902377</v>
      </c>
      <c r="N87" s="37">
        <f t="shared" si="6"/>
        <v>0</v>
      </c>
      <c r="O87" s="37">
        <f>IF(H87&lt;32,SteamProperties!$F$24*Radiators!F87,IF(H87&lt;56,SteamProperties!$F$25*Radiators!F87,SteamProperties!$F$26*Radiators!F87))</f>
        <v>0</v>
      </c>
      <c r="P87" s="37">
        <f>IF(H87&lt;32,Calculations!$F$5*Radiators!F87,IF(H87&lt;56,Calculations!$F$6*Radiators!F87,Calculations!$F$7*Radiators!F87))</f>
        <v>0</v>
      </c>
      <c r="Q87" s="37">
        <f t="shared" si="7"/>
        <v>0</v>
      </c>
    </row>
    <row r="88" spans="2:17">
      <c r="B88" s="33"/>
      <c r="C88" s="34"/>
      <c r="D88" s="34"/>
      <c r="E88" s="34"/>
      <c r="F88" s="34"/>
      <c r="G88" s="34"/>
      <c r="H88" s="34">
        <f>IFERROR(IF(B88="Column",INDEX(RadCompList!$C$4:$G$13,MATCH(C88,RadCompList!$B$4:$B$13),MATCH(Radiators!D88,RadCompList!$C$3:$G$3)),IF(B88="Tube",INDEX(RadCompList!$C$16:$I$22,MATCH(C88,RadCompList!$B$16:$B$22),MATCH(Radiators!D88,RadCompList!$C$15:$I$15)),IF(B88="Cast Rad/Conv",INDEX(RadCompList!$C$28:$D$28,MATCH(C88,RadCompList!$B$28),MATCH(Radiators!D88,RadCompList!$C$27:$D$27)),IF(B88="Copper Cabinet",(INDEX(RadCompList!$E$39:$J$78,MATCH(Radiators!D88,RadCompList!$D$39:$D$78,0),MATCH(C88,RadCompList!$E$38:$J$38,0))),0))))*E88,0)*$A$2</f>
        <v>0</v>
      </c>
      <c r="I88" s="34">
        <f t="shared" si="5"/>
        <v>0</v>
      </c>
      <c r="J88" s="35">
        <f>IFERROR(VLOOKUP(G88,VentList!$A$1:$D$198,2,FALSE),0)</f>
        <v>0</v>
      </c>
      <c r="K88" s="26">
        <f>IFERROR(VLOOKUP(B88,RadCompList!$P$3:$Q$6,2,FALSE)*H88,0)</f>
        <v>0</v>
      </c>
      <c r="L88" s="26" t="str">
        <f t="shared" si="8"/>
        <v>3/4</v>
      </c>
      <c r="M88" s="37">
        <f>Main!$G$8-0.0001306*N88^2 * F88*(1+3.6/VLOOKUP(L88,Calculations!$B$4:$F$15,2,FALSE))/(3600*Main!$C$7*VLOOKUP(L88,Calculations!$B$4:$F$15,2,FALSE)^5)</f>
        <v>0.14820436411902377</v>
      </c>
      <c r="N88" s="37">
        <f t="shared" si="6"/>
        <v>0</v>
      </c>
      <c r="O88" s="37">
        <f>IF(H88&lt;32,SteamProperties!$F$24*Radiators!F88,IF(H88&lt;56,SteamProperties!$F$25*Radiators!F88,SteamProperties!$F$26*Radiators!F88))</f>
        <v>0</v>
      </c>
      <c r="P88" s="37">
        <f>IF(H88&lt;32,Calculations!$F$5*Radiators!F88,IF(H88&lt;56,Calculations!$F$6*Radiators!F88,Calculations!$F$7*Radiators!F88))</f>
        <v>0</v>
      </c>
      <c r="Q88" s="37">
        <f t="shared" si="7"/>
        <v>0</v>
      </c>
    </row>
    <row r="89" spans="2:17">
      <c r="B89" s="33"/>
      <c r="C89" s="34"/>
      <c r="D89" s="34"/>
      <c r="E89" s="34"/>
      <c r="F89" s="34"/>
      <c r="G89" s="34"/>
      <c r="H89" s="34">
        <f>IFERROR(IF(B89="Column",INDEX(RadCompList!$C$4:$G$13,MATCH(C89,RadCompList!$B$4:$B$13),MATCH(Radiators!D89,RadCompList!$C$3:$G$3)),IF(B89="Tube",INDEX(RadCompList!$C$16:$I$22,MATCH(C89,RadCompList!$B$16:$B$22),MATCH(Radiators!D89,RadCompList!$C$15:$I$15)),IF(B89="Cast Rad/Conv",INDEX(RadCompList!$C$28:$D$28,MATCH(C89,RadCompList!$B$28),MATCH(Radiators!D89,RadCompList!$C$27:$D$27)),IF(B89="Copper Cabinet",(INDEX(RadCompList!$E$39:$J$78,MATCH(Radiators!D89,RadCompList!$D$39:$D$78,0),MATCH(C89,RadCompList!$E$38:$J$38,0))),0))))*E89,0)*$A$2</f>
        <v>0</v>
      </c>
      <c r="I89" s="34">
        <f t="shared" si="5"/>
        <v>0</v>
      </c>
      <c r="J89" s="35">
        <f>IFERROR(VLOOKUP(G89,VentList!$A$1:$D$198,2,FALSE),0)</f>
        <v>0</v>
      </c>
      <c r="K89" s="26">
        <f>IFERROR(VLOOKUP(B89,RadCompList!$P$3:$Q$6,2,FALSE)*H89,0)</f>
        <v>0</v>
      </c>
      <c r="L89" s="26" t="str">
        <f t="shared" si="8"/>
        <v>3/4</v>
      </c>
      <c r="M89" s="37">
        <f>Main!$G$8-0.0001306*N89^2 * F89*(1+3.6/VLOOKUP(L89,Calculations!$B$4:$F$15,2,FALSE))/(3600*Main!$C$7*VLOOKUP(L89,Calculations!$B$4:$F$15,2,FALSE)^5)</f>
        <v>0.14820436411902377</v>
      </c>
      <c r="N89" s="37">
        <f t="shared" si="6"/>
        <v>0</v>
      </c>
      <c r="O89" s="37">
        <f>IF(H89&lt;32,SteamProperties!$F$24*Radiators!F89,IF(H89&lt;56,SteamProperties!$F$25*Radiators!F89,SteamProperties!$F$26*Radiators!F89))</f>
        <v>0</v>
      </c>
      <c r="P89" s="37">
        <f>IF(H89&lt;32,Calculations!$F$5*Radiators!F89,IF(H89&lt;56,Calculations!$F$6*Radiators!F89,Calculations!$F$7*Radiators!F89))</f>
        <v>0</v>
      </c>
      <c r="Q89" s="37">
        <f t="shared" si="7"/>
        <v>0</v>
      </c>
    </row>
    <row r="90" spans="2:17">
      <c r="B90" s="33"/>
      <c r="C90" s="34"/>
      <c r="D90" s="34"/>
      <c r="E90" s="34"/>
      <c r="F90" s="34"/>
      <c r="G90" s="34"/>
      <c r="H90" s="34">
        <f>IFERROR(IF(B90="Column",INDEX(RadCompList!$C$4:$G$13,MATCH(C90,RadCompList!$B$4:$B$13),MATCH(Radiators!D90,RadCompList!$C$3:$G$3)),IF(B90="Tube",INDEX(RadCompList!$C$16:$I$22,MATCH(C90,RadCompList!$B$16:$B$22),MATCH(Radiators!D90,RadCompList!$C$15:$I$15)),IF(B90="Cast Rad/Conv",INDEX(RadCompList!$C$28:$D$28,MATCH(C90,RadCompList!$B$28),MATCH(Radiators!D90,RadCompList!$C$27:$D$27)),IF(B90="Copper Cabinet",(INDEX(RadCompList!$E$39:$J$78,MATCH(Radiators!D90,RadCompList!$D$39:$D$78,0),MATCH(C90,RadCompList!$E$38:$J$38,0))),0))))*E90,0)*$A$2</f>
        <v>0</v>
      </c>
      <c r="I90" s="34">
        <f t="shared" si="5"/>
        <v>0</v>
      </c>
      <c r="J90" s="35">
        <f>IFERROR(VLOOKUP(G90,VentList!$A$1:$D$198,2,FALSE),0)</f>
        <v>0</v>
      </c>
      <c r="K90" s="26">
        <f>IFERROR(VLOOKUP(B90,RadCompList!$P$3:$Q$6,2,FALSE)*H90,0)</f>
        <v>0</v>
      </c>
      <c r="L90" s="26" t="str">
        <f t="shared" si="8"/>
        <v>3/4</v>
      </c>
      <c r="M90" s="37">
        <f>Main!$G$8-0.0001306*N90^2 * F90*(1+3.6/VLOOKUP(L90,Calculations!$B$4:$F$15,2,FALSE))/(3600*Main!$C$7*VLOOKUP(L90,Calculations!$B$4:$F$15,2,FALSE)^5)</f>
        <v>0.14820436411902377</v>
      </c>
      <c r="N90" s="37">
        <f t="shared" si="6"/>
        <v>0</v>
      </c>
      <c r="O90" s="37">
        <f>IF(H90&lt;32,SteamProperties!$F$24*Radiators!F90,IF(H90&lt;56,SteamProperties!$F$25*Radiators!F90,SteamProperties!$F$26*Radiators!F90))</f>
        <v>0</v>
      </c>
      <c r="P90" s="37">
        <f>IF(H90&lt;32,Calculations!$F$5*Radiators!F90,IF(H90&lt;56,Calculations!$F$6*Radiators!F90,Calculations!$F$7*Radiators!F90))</f>
        <v>0</v>
      </c>
      <c r="Q90" s="37">
        <f t="shared" si="7"/>
        <v>0</v>
      </c>
    </row>
    <row r="91" spans="2:17">
      <c r="B91" s="33"/>
      <c r="C91" s="34"/>
      <c r="D91" s="34"/>
      <c r="E91" s="34"/>
      <c r="F91" s="34"/>
      <c r="G91" s="34"/>
      <c r="H91" s="34">
        <f>IFERROR(IF(B91="Column",INDEX(RadCompList!$C$4:$G$13,MATCH(C91,RadCompList!$B$4:$B$13),MATCH(Radiators!D91,RadCompList!$C$3:$G$3)),IF(B91="Tube",INDEX(RadCompList!$C$16:$I$22,MATCH(C91,RadCompList!$B$16:$B$22),MATCH(Radiators!D91,RadCompList!$C$15:$I$15)),IF(B91="Cast Rad/Conv",INDEX(RadCompList!$C$28:$D$28,MATCH(C91,RadCompList!$B$28),MATCH(Radiators!D91,RadCompList!$C$27:$D$27)),IF(B91="Copper Cabinet",(INDEX(RadCompList!$E$39:$J$78,MATCH(Radiators!D91,RadCompList!$D$39:$D$78,0),MATCH(C91,RadCompList!$E$38:$J$38,0))),0))))*E91,0)*$A$2</f>
        <v>0</v>
      </c>
      <c r="I91" s="34">
        <f t="shared" si="5"/>
        <v>0</v>
      </c>
      <c r="J91" s="35">
        <f>IFERROR(VLOOKUP(G91,VentList!$A$1:$D$198,2,FALSE),0)</f>
        <v>0</v>
      </c>
      <c r="K91" s="26">
        <f>IFERROR(VLOOKUP(B91,RadCompList!$P$3:$Q$6,2,FALSE)*H91,0)</f>
        <v>0</v>
      </c>
      <c r="L91" s="26" t="str">
        <f t="shared" si="8"/>
        <v>3/4</v>
      </c>
      <c r="M91" s="37">
        <f>Main!$G$8-0.0001306*N91^2 * F91*(1+3.6/VLOOKUP(L91,Calculations!$B$4:$F$15,2,FALSE))/(3600*Main!$C$7*VLOOKUP(L91,Calculations!$B$4:$F$15,2,FALSE)^5)</f>
        <v>0.14820436411902377</v>
      </c>
      <c r="N91" s="37">
        <f t="shared" si="6"/>
        <v>0</v>
      </c>
      <c r="O91" s="37">
        <f>IF(H91&lt;32,SteamProperties!$F$24*Radiators!F91,IF(H91&lt;56,SteamProperties!$F$25*Radiators!F91,SteamProperties!$F$26*Radiators!F91))</f>
        <v>0</v>
      </c>
      <c r="P91" s="37">
        <f>IF(H91&lt;32,Calculations!$F$5*Radiators!F91,IF(H91&lt;56,Calculations!$F$6*Radiators!F91,Calculations!$F$7*Radiators!F91))</f>
        <v>0</v>
      </c>
      <c r="Q91" s="37">
        <f t="shared" si="7"/>
        <v>0</v>
      </c>
    </row>
    <row r="92" spans="2:17">
      <c r="B92" s="33"/>
      <c r="C92" s="34"/>
      <c r="D92" s="34"/>
      <c r="E92" s="34"/>
      <c r="F92" s="34"/>
      <c r="G92" s="34"/>
      <c r="H92" s="34">
        <f>IFERROR(IF(B92="Column",INDEX(RadCompList!$C$4:$G$13,MATCH(C92,RadCompList!$B$4:$B$13),MATCH(Radiators!D92,RadCompList!$C$3:$G$3)),IF(B92="Tube",INDEX(RadCompList!$C$16:$I$22,MATCH(C92,RadCompList!$B$16:$B$22),MATCH(Radiators!D92,RadCompList!$C$15:$I$15)),IF(B92="Cast Rad/Conv",INDEX(RadCompList!$C$28:$D$28,MATCH(C92,RadCompList!$B$28),MATCH(Radiators!D92,RadCompList!$C$27:$D$27)),IF(B92="Copper Cabinet",(INDEX(RadCompList!$E$39:$J$78,MATCH(Radiators!D92,RadCompList!$D$39:$D$78,0),MATCH(C92,RadCompList!$E$38:$J$38,0))),0))))*E92,0)*$A$2</f>
        <v>0</v>
      </c>
      <c r="I92" s="34">
        <f t="shared" si="5"/>
        <v>0</v>
      </c>
      <c r="J92" s="35">
        <f>IFERROR(VLOOKUP(G92,VentList!$A$1:$D$198,2,FALSE),0)</f>
        <v>0</v>
      </c>
      <c r="K92" s="26">
        <f>IFERROR(VLOOKUP(B92,RadCompList!$P$3:$Q$6,2,FALSE)*H92,0)</f>
        <v>0</v>
      </c>
      <c r="L92" s="26" t="str">
        <f t="shared" si="8"/>
        <v>3/4</v>
      </c>
      <c r="M92" s="37">
        <f>Main!$G$8-0.0001306*N92^2 * F92*(1+3.6/VLOOKUP(L92,Calculations!$B$4:$F$15,2,FALSE))/(3600*Main!$C$7*VLOOKUP(L92,Calculations!$B$4:$F$15,2,FALSE)^5)</f>
        <v>0.14820436411902377</v>
      </c>
      <c r="N92" s="37">
        <f t="shared" si="6"/>
        <v>0</v>
      </c>
      <c r="O92" s="37">
        <f>IF(H92&lt;32,SteamProperties!$F$24*Radiators!F92,IF(H92&lt;56,SteamProperties!$F$25*Radiators!F92,SteamProperties!$F$26*Radiators!F92))</f>
        <v>0</v>
      </c>
      <c r="P92" s="37">
        <f>IF(H92&lt;32,Calculations!$F$5*Radiators!F92,IF(H92&lt;56,Calculations!$F$6*Radiators!F92,Calculations!$F$7*Radiators!F92))</f>
        <v>0</v>
      </c>
      <c r="Q92" s="37">
        <f t="shared" si="7"/>
        <v>0</v>
      </c>
    </row>
    <row r="93" spans="2:17">
      <c r="B93" s="33"/>
      <c r="C93" s="34"/>
      <c r="D93" s="34"/>
      <c r="E93" s="34"/>
      <c r="F93" s="34"/>
      <c r="G93" s="34"/>
      <c r="H93" s="34">
        <f>IFERROR(IF(B93="Column",INDEX(RadCompList!$C$4:$G$13,MATCH(C93,RadCompList!$B$4:$B$13),MATCH(Radiators!D93,RadCompList!$C$3:$G$3)),IF(B93="Tube",INDEX(RadCompList!$C$16:$I$22,MATCH(C93,RadCompList!$B$16:$B$22),MATCH(Radiators!D93,RadCompList!$C$15:$I$15)),IF(B93="Cast Rad/Conv",INDEX(RadCompList!$C$28:$D$28,MATCH(C93,RadCompList!$B$28),MATCH(Radiators!D93,RadCompList!$C$27:$D$27)),IF(B93="Copper Cabinet",(INDEX(RadCompList!$E$39:$J$78,MATCH(Radiators!D93,RadCompList!$D$39:$D$78,0),MATCH(C93,RadCompList!$E$38:$J$38,0))),0))))*E93,0)*$A$2</f>
        <v>0</v>
      </c>
      <c r="I93" s="34">
        <f t="shared" si="5"/>
        <v>0</v>
      </c>
      <c r="J93" s="35">
        <f>IFERROR(VLOOKUP(G93,VentList!$A$1:$D$198,2,FALSE),0)</f>
        <v>0</v>
      </c>
      <c r="K93" s="26">
        <f>IFERROR(VLOOKUP(B93,RadCompList!$P$3:$Q$6,2,FALSE)*H93,0)</f>
        <v>0</v>
      </c>
      <c r="L93" s="26" t="str">
        <f t="shared" si="8"/>
        <v>3/4</v>
      </c>
      <c r="M93" s="37">
        <f>Main!$G$8-0.0001306*N93^2 * F93*(1+3.6/VLOOKUP(L93,Calculations!$B$4:$F$15,2,FALSE))/(3600*Main!$C$7*VLOOKUP(L93,Calculations!$B$4:$F$15,2,FALSE)^5)</f>
        <v>0.14820436411902377</v>
      </c>
      <c r="N93" s="37">
        <f t="shared" si="6"/>
        <v>0</v>
      </c>
      <c r="O93" s="37">
        <f>IF(H93&lt;32,SteamProperties!$F$24*Radiators!F93,IF(H93&lt;56,SteamProperties!$F$25*Radiators!F93,SteamProperties!$F$26*Radiators!F93))</f>
        <v>0</v>
      </c>
      <c r="P93" s="37">
        <f>IF(H93&lt;32,Calculations!$F$5*Radiators!F93,IF(H93&lt;56,Calculations!$F$6*Radiators!F93,Calculations!$F$7*Radiators!F93))</f>
        <v>0</v>
      </c>
      <c r="Q93" s="37">
        <f t="shared" si="7"/>
        <v>0</v>
      </c>
    </row>
    <row r="94" spans="2:17">
      <c r="B94" s="33"/>
      <c r="C94" s="34"/>
      <c r="D94" s="34"/>
      <c r="E94" s="34"/>
      <c r="F94" s="34"/>
      <c r="G94" s="34"/>
      <c r="H94" s="34">
        <f>IFERROR(IF(B94="Column",INDEX(RadCompList!$C$4:$G$13,MATCH(C94,RadCompList!$B$4:$B$13),MATCH(Radiators!D94,RadCompList!$C$3:$G$3)),IF(B94="Tube",INDEX(RadCompList!$C$16:$I$22,MATCH(C94,RadCompList!$B$16:$B$22),MATCH(Radiators!D94,RadCompList!$C$15:$I$15)),IF(B94="Cast Rad/Conv",INDEX(RadCompList!$C$28:$D$28,MATCH(C94,RadCompList!$B$28),MATCH(Radiators!D94,RadCompList!$C$27:$D$27)),IF(B94="Copper Cabinet",(INDEX(RadCompList!$E$39:$J$78,MATCH(Radiators!D94,RadCompList!$D$39:$D$78,0),MATCH(C94,RadCompList!$E$38:$J$38,0))),0))))*E94,0)*$A$2</f>
        <v>0</v>
      </c>
      <c r="I94" s="34">
        <f t="shared" si="5"/>
        <v>0</v>
      </c>
      <c r="J94" s="35">
        <f>IFERROR(VLOOKUP(G94,VentList!$A$1:$D$198,2,FALSE),0)</f>
        <v>0</v>
      </c>
      <c r="K94" s="26">
        <f>IFERROR(VLOOKUP(B94,RadCompList!$P$3:$Q$6,2,FALSE)*H94,0)</f>
        <v>0</v>
      </c>
      <c r="L94" s="26" t="str">
        <f t="shared" si="8"/>
        <v>3/4</v>
      </c>
      <c r="M94" s="37">
        <f>Main!$G$8-0.0001306*N94^2 * F94*(1+3.6/VLOOKUP(L94,Calculations!$B$4:$F$15,2,FALSE))/(3600*Main!$C$7*VLOOKUP(L94,Calculations!$B$4:$F$15,2,FALSE)^5)</f>
        <v>0.14820436411902377</v>
      </c>
      <c r="N94" s="37">
        <f t="shared" si="6"/>
        <v>0</v>
      </c>
      <c r="O94" s="37">
        <f>IF(H94&lt;32,SteamProperties!$F$24*Radiators!F94,IF(H94&lt;56,SteamProperties!$F$25*Radiators!F94,SteamProperties!$F$26*Radiators!F94))</f>
        <v>0</v>
      </c>
      <c r="P94" s="37">
        <f>IF(H94&lt;32,Calculations!$F$5*Radiators!F94,IF(H94&lt;56,Calculations!$F$6*Radiators!F94,Calculations!$F$7*Radiators!F94))</f>
        <v>0</v>
      </c>
      <c r="Q94" s="37">
        <f t="shared" si="7"/>
        <v>0</v>
      </c>
    </row>
    <row r="95" spans="2:17">
      <c r="B95" s="33"/>
      <c r="C95" s="34"/>
      <c r="D95" s="34"/>
      <c r="E95" s="34"/>
      <c r="F95" s="34"/>
      <c r="G95" s="34"/>
      <c r="H95" s="34">
        <f>IFERROR(IF(B95="Column",INDEX(RadCompList!$C$4:$G$13,MATCH(C95,RadCompList!$B$4:$B$13),MATCH(Radiators!D95,RadCompList!$C$3:$G$3)),IF(B95="Tube",INDEX(RadCompList!$C$16:$I$22,MATCH(C95,RadCompList!$B$16:$B$22),MATCH(Radiators!D95,RadCompList!$C$15:$I$15)),IF(B95="Cast Rad/Conv",INDEX(RadCompList!$C$28:$D$28,MATCH(C95,RadCompList!$B$28),MATCH(Radiators!D95,RadCompList!$C$27:$D$27)),IF(B95="Copper Cabinet",(INDEX(RadCompList!$E$39:$J$78,MATCH(Radiators!D95,RadCompList!$D$39:$D$78,0),MATCH(C95,RadCompList!$E$38:$J$38,0))),0))))*E95,0)*$A$2</f>
        <v>0</v>
      </c>
      <c r="I95" s="34">
        <f t="shared" si="5"/>
        <v>0</v>
      </c>
      <c r="J95" s="35">
        <f>IFERROR(VLOOKUP(G95,VentList!$A$1:$D$198,2,FALSE),0)</f>
        <v>0</v>
      </c>
      <c r="K95" s="26">
        <f>IFERROR(VLOOKUP(B95,RadCompList!$P$3:$Q$6,2,FALSE)*H95,0)</f>
        <v>0</v>
      </c>
      <c r="L95" s="26" t="str">
        <f t="shared" si="8"/>
        <v>3/4</v>
      </c>
      <c r="M95" s="37">
        <f>Main!$G$8-0.0001306*N95^2 * F95*(1+3.6/VLOOKUP(L95,Calculations!$B$4:$F$15,2,FALSE))/(3600*Main!$C$7*VLOOKUP(L95,Calculations!$B$4:$F$15,2,FALSE)^5)</f>
        <v>0.14820436411902377</v>
      </c>
      <c r="N95" s="37">
        <f t="shared" si="6"/>
        <v>0</v>
      </c>
      <c r="O95" s="37">
        <f>IF(H95&lt;32,SteamProperties!$F$24*Radiators!F95,IF(H95&lt;56,SteamProperties!$F$25*Radiators!F95,SteamProperties!$F$26*Radiators!F95))</f>
        <v>0</v>
      </c>
      <c r="P95" s="37">
        <f>IF(H95&lt;32,Calculations!$F$5*Radiators!F95,IF(H95&lt;56,Calculations!$F$6*Radiators!F95,Calculations!$F$7*Radiators!F95))</f>
        <v>0</v>
      </c>
      <c r="Q95" s="37">
        <f t="shared" si="7"/>
        <v>0</v>
      </c>
    </row>
    <row r="96" spans="2:17">
      <c r="B96" s="33"/>
      <c r="C96" s="34"/>
      <c r="D96" s="34"/>
      <c r="E96" s="34"/>
      <c r="F96" s="34"/>
      <c r="G96" s="34"/>
      <c r="H96" s="34">
        <f>IFERROR(IF(B96="Column",INDEX(RadCompList!$C$4:$G$13,MATCH(C96,RadCompList!$B$4:$B$13),MATCH(Radiators!D96,RadCompList!$C$3:$G$3)),IF(B96="Tube",INDEX(RadCompList!$C$16:$I$22,MATCH(C96,RadCompList!$B$16:$B$22),MATCH(Radiators!D96,RadCompList!$C$15:$I$15)),IF(B96="Cast Rad/Conv",INDEX(RadCompList!$C$28:$D$28,MATCH(C96,RadCompList!$B$28),MATCH(Radiators!D96,RadCompList!$C$27:$D$27)),IF(B96="Copper Cabinet",(INDEX(RadCompList!$E$39:$J$78,MATCH(Radiators!D96,RadCompList!$D$39:$D$78,0),MATCH(C96,RadCompList!$E$38:$J$38,0))),0))))*E96,0)*$A$2</f>
        <v>0</v>
      </c>
      <c r="I96" s="34">
        <f t="shared" si="5"/>
        <v>0</v>
      </c>
      <c r="J96" s="35">
        <f>IFERROR(VLOOKUP(G96,VentList!$A$1:$D$198,2,FALSE),0)</f>
        <v>0</v>
      </c>
      <c r="K96" s="26">
        <f>IFERROR(VLOOKUP(B96,RadCompList!$P$3:$Q$6,2,FALSE)*H96,0)</f>
        <v>0</v>
      </c>
      <c r="L96" s="26" t="str">
        <f t="shared" si="8"/>
        <v>3/4</v>
      </c>
      <c r="M96" s="37">
        <f>Main!$G$8-0.0001306*N96^2 * F96*(1+3.6/VLOOKUP(L96,Calculations!$B$4:$F$15,2,FALSE))/(3600*Main!$C$7*VLOOKUP(L96,Calculations!$B$4:$F$15,2,FALSE)^5)</f>
        <v>0.14820436411902377</v>
      </c>
      <c r="N96" s="37">
        <f t="shared" si="6"/>
        <v>0</v>
      </c>
      <c r="O96" s="37">
        <f>IF(H96&lt;32,SteamProperties!$F$24*Radiators!F96,IF(H96&lt;56,SteamProperties!$F$25*Radiators!F96,SteamProperties!$F$26*Radiators!F96))</f>
        <v>0</v>
      </c>
      <c r="P96" s="37">
        <f>IF(H96&lt;32,Calculations!$F$5*Radiators!F96,IF(H96&lt;56,Calculations!$F$6*Radiators!F96,Calculations!$F$7*Radiators!F96))</f>
        <v>0</v>
      </c>
      <c r="Q96" s="37">
        <f t="shared" si="7"/>
        <v>0</v>
      </c>
    </row>
    <row r="97" spans="2:17">
      <c r="B97" s="33"/>
      <c r="C97" s="34"/>
      <c r="D97" s="34"/>
      <c r="E97" s="34"/>
      <c r="F97" s="34"/>
      <c r="G97" s="34"/>
      <c r="H97" s="34">
        <f>IFERROR(IF(B97="Column",INDEX(RadCompList!$C$4:$G$13,MATCH(C97,RadCompList!$B$4:$B$13),MATCH(Radiators!D97,RadCompList!$C$3:$G$3)),IF(B97="Tube",INDEX(RadCompList!$C$16:$I$22,MATCH(C97,RadCompList!$B$16:$B$22),MATCH(Radiators!D97,RadCompList!$C$15:$I$15)),IF(B97="Cast Rad/Conv",INDEX(RadCompList!$C$28:$D$28,MATCH(C97,RadCompList!$B$28),MATCH(Radiators!D97,RadCompList!$C$27:$D$27)),IF(B97="Copper Cabinet",(INDEX(RadCompList!$E$39:$J$78,MATCH(Radiators!D97,RadCompList!$D$39:$D$78,0),MATCH(C97,RadCompList!$E$38:$J$38,0))),0))))*E97,0)*$A$2</f>
        <v>0</v>
      </c>
      <c r="I97" s="34">
        <f t="shared" si="5"/>
        <v>0</v>
      </c>
      <c r="J97" s="35">
        <f>IFERROR(VLOOKUP(G97,VentList!$A$1:$D$198,2,FALSE),0)</f>
        <v>0</v>
      </c>
      <c r="K97" s="26">
        <f>IFERROR(VLOOKUP(B97,RadCompList!$P$3:$Q$6,2,FALSE)*H97,0)</f>
        <v>0</v>
      </c>
      <c r="L97" s="26" t="str">
        <f t="shared" si="8"/>
        <v>3/4</v>
      </c>
      <c r="M97" s="37">
        <f>Main!$G$8-0.0001306*N97^2 * F97*(1+3.6/VLOOKUP(L97,Calculations!$B$4:$F$15,2,FALSE))/(3600*Main!$C$7*VLOOKUP(L97,Calculations!$B$4:$F$15,2,FALSE)^5)</f>
        <v>0.14820436411902377</v>
      </c>
      <c r="N97" s="37">
        <f t="shared" si="6"/>
        <v>0</v>
      </c>
      <c r="O97" s="37">
        <f>IF(H97&lt;32,SteamProperties!$F$24*Radiators!F97,IF(H97&lt;56,SteamProperties!$F$25*Radiators!F97,SteamProperties!$F$26*Radiators!F97))</f>
        <v>0</v>
      </c>
      <c r="P97" s="37">
        <f>IF(H97&lt;32,Calculations!$F$5*Radiators!F97,IF(H97&lt;56,Calculations!$F$6*Radiators!F97,Calculations!$F$7*Radiators!F97))</f>
        <v>0</v>
      </c>
      <c r="Q97" s="37">
        <f t="shared" si="7"/>
        <v>0</v>
      </c>
    </row>
    <row r="98" spans="2:17">
      <c r="B98" s="33"/>
      <c r="C98" s="34"/>
      <c r="D98" s="34"/>
      <c r="E98" s="34"/>
      <c r="F98" s="34"/>
      <c r="G98" s="34"/>
      <c r="H98" s="34">
        <f>IFERROR(IF(B98="Column",INDEX(RadCompList!$C$4:$G$13,MATCH(C98,RadCompList!$B$4:$B$13),MATCH(Radiators!D98,RadCompList!$C$3:$G$3)),IF(B98="Tube",INDEX(RadCompList!$C$16:$I$22,MATCH(C98,RadCompList!$B$16:$B$22),MATCH(Radiators!D98,RadCompList!$C$15:$I$15)),IF(B98="Cast Rad/Conv",INDEX(RadCompList!$C$28:$D$28,MATCH(C98,RadCompList!$B$28),MATCH(Radiators!D98,RadCompList!$C$27:$D$27)),IF(B98="Copper Cabinet",(INDEX(RadCompList!$E$39:$J$78,MATCH(Radiators!D98,RadCompList!$D$39:$D$78,0),MATCH(C98,RadCompList!$E$38:$J$38,0))),0))))*E98,0)*$A$2</f>
        <v>0</v>
      </c>
      <c r="I98" s="34">
        <f t="shared" si="5"/>
        <v>0</v>
      </c>
      <c r="J98" s="35">
        <f>IFERROR(VLOOKUP(G98,VentList!$A$1:$D$198,2,FALSE),0)</f>
        <v>0</v>
      </c>
      <c r="K98" s="26">
        <f>IFERROR(VLOOKUP(B98,RadCompList!$P$3:$Q$6,2,FALSE)*H98,0)</f>
        <v>0</v>
      </c>
      <c r="L98" s="26" t="str">
        <f t="shared" si="8"/>
        <v>3/4</v>
      </c>
      <c r="M98" s="37">
        <f>Main!$G$8-0.0001306*N98^2 * F98*(1+3.6/VLOOKUP(L98,Calculations!$B$4:$F$15,2,FALSE))/(3600*Main!$C$7*VLOOKUP(L98,Calculations!$B$4:$F$15,2,FALSE)^5)</f>
        <v>0.14820436411902377</v>
      </c>
      <c r="N98" s="37">
        <f t="shared" si="6"/>
        <v>0</v>
      </c>
      <c r="O98" s="37">
        <f>IF(H98&lt;32,SteamProperties!$F$24*Radiators!F98,IF(H98&lt;56,SteamProperties!$F$25*Radiators!F98,SteamProperties!$F$26*Radiators!F98))</f>
        <v>0</v>
      </c>
      <c r="P98" s="37">
        <f>IF(H98&lt;32,Calculations!$F$5*Radiators!F98,IF(H98&lt;56,Calculations!$F$6*Radiators!F98,Calculations!$F$7*Radiators!F98))</f>
        <v>0</v>
      </c>
      <c r="Q98" s="37">
        <f t="shared" si="7"/>
        <v>0</v>
      </c>
    </row>
    <row r="99" spans="2:17">
      <c r="B99" s="33"/>
      <c r="C99" s="34"/>
      <c r="D99" s="34"/>
      <c r="E99" s="34"/>
      <c r="F99" s="34"/>
      <c r="G99" s="34"/>
      <c r="H99" s="34">
        <f>IFERROR(IF(B99="Column",INDEX(RadCompList!$C$4:$G$13,MATCH(C99,RadCompList!$B$4:$B$13),MATCH(Radiators!D99,RadCompList!$C$3:$G$3)),IF(B99="Tube",INDEX(RadCompList!$C$16:$I$22,MATCH(C99,RadCompList!$B$16:$B$22),MATCH(Radiators!D99,RadCompList!$C$15:$I$15)),IF(B99="Cast Rad/Conv",INDEX(RadCompList!$C$28:$D$28,MATCH(C99,RadCompList!$B$28),MATCH(Radiators!D99,RadCompList!$C$27:$D$27)),IF(B99="Copper Cabinet",(INDEX(RadCompList!$E$39:$J$78,MATCH(Radiators!D99,RadCompList!$D$39:$D$78,0),MATCH(C99,RadCompList!$E$38:$J$38,0))),0))))*E99,0)*$A$2</f>
        <v>0</v>
      </c>
      <c r="I99" s="34">
        <f t="shared" si="5"/>
        <v>0</v>
      </c>
      <c r="J99" s="35">
        <f>IFERROR(VLOOKUP(G99,VentList!$A$1:$D$198,2,FALSE),0)</f>
        <v>0</v>
      </c>
      <c r="K99" s="26">
        <f>IFERROR(VLOOKUP(B99,RadCompList!$P$3:$Q$6,2,FALSE)*H99,0)</f>
        <v>0</v>
      </c>
      <c r="L99" s="26" t="str">
        <f t="shared" si="8"/>
        <v>3/4</v>
      </c>
      <c r="M99" s="37">
        <f>Main!$G$8-0.0001306*N99^2 * F99*(1+3.6/VLOOKUP(L99,Calculations!$B$4:$F$15,2,FALSE))/(3600*Main!$C$7*VLOOKUP(L99,Calculations!$B$4:$F$15,2,FALSE)^5)</f>
        <v>0.14820436411902377</v>
      </c>
      <c r="N99" s="37">
        <f t="shared" si="6"/>
        <v>0</v>
      </c>
      <c r="O99" s="37">
        <f>IF(H99&lt;32,SteamProperties!$F$24*Radiators!F99,IF(H99&lt;56,SteamProperties!$F$25*Radiators!F99,SteamProperties!$F$26*Radiators!F99))</f>
        <v>0</v>
      </c>
      <c r="P99" s="37">
        <f>IF(H99&lt;32,Calculations!$F$5*Radiators!F99,IF(H99&lt;56,Calculations!$F$6*Radiators!F99,Calculations!$F$7*Radiators!F99))</f>
        <v>0</v>
      </c>
      <c r="Q99" s="37">
        <f t="shared" si="7"/>
        <v>0</v>
      </c>
    </row>
    <row r="100" spans="2:17">
      <c r="B100" s="33"/>
      <c r="C100" s="34"/>
      <c r="D100" s="34"/>
      <c r="E100" s="34"/>
      <c r="F100" s="34"/>
      <c r="G100" s="34"/>
      <c r="H100" s="34">
        <f>IFERROR(IF(B100="Column",INDEX(RadCompList!$C$4:$G$13,MATCH(C100,RadCompList!$B$4:$B$13),MATCH(Radiators!D100,RadCompList!$C$3:$G$3)),IF(B100="Tube",INDEX(RadCompList!$C$16:$I$22,MATCH(C100,RadCompList!$B$16:$B$22),MATCH(Radiators!D100,RadCompList!$C$15:$I$15)),IF(B100="Cast Rad/Conv",INDEX(RadCompList!$C$28:$D$28,MATCH(C100,RadCompList!$B$28),MATCH(Radiators!D100,RadCompList!$C$27:$D$27)),IF(B100="Copper Cabinet",(INDEX(RadCompList!$E$39:$J$78,MATCH(Radiators!D100,RadCompList!$D$39:$D$78,0),MATCH(C100,RadCompList!$E$38:$J$38,0))),0))))*E100,0)*$A$2</f>
        <v>0</v>
      </c>
      <c r="I100" s="34">
        <f t="shared" si="5"/>
        <v>0</v>
      </c>
      <c r="J100" s="35">
        <f>IFERROR(VLOOKUP(G100,VentList!$A$1:$D$198,2,FALSE),0)</f>
        <v>0</v>
      </c>
      <c r="K100" s="26">
        <f>IFERROR(VLOOKUP(B100,RadCompList!$P$3:$Q$6,2,FALSE)*H100,0)</f>
        <v>0</v>
      </c>
      <c r="L100" s="26" t="str">
        <f t="shared" si="8"/>
        <v>3/4</v>
      </c>
      <c r="M100" s="37">
        <f>Main!$G$8-0.0001306*N100^2 * F100*(1+3.6/VLOOKUP(L100,Calculations!$B$4:$F$15,2,FALSE))/(3600*Main!$C$7*VLOOKUP(L100,Calculations!$B$4:$F$15,2,FALSE)^5)</f>
        <v>0.14820436411902377</v>
      </c>
      <c r="N100" s="37">
        <f t="shared" si="6"/>
        <v>0</v>
      </c>
      <c r="O100" s="37">
        <f>IF(H100&lt;32,SteamProperties!$F$24*Radiators!F100,IF(H100&lt;56,SteamProperties!$F$25*Radiators!F100,SteamProperties!$F$26*Radiators!F100))</f>
        <v>0</v>
      </c>
      <c r="P100" s="37">
        <f>IF(H100&lt;32,Calculations!$F$5*Radiators!F100,IF(H100&lt;56,Calculations!$F$6*Radiators!F100,Calculations!$F$7*Radiators!F100))</f>
        <v>0</v>
      </c>
      <c r="Q100" s="37">
        <f t="shared" si="7"/>
        <v>0</v>
      </c>
    </row>
    <row r="101" spans="2:17">
      <c r="B101" s="33"/>
      <c r="C101" s="34"/>
      <c r="D101" s="34"/>
      <c r="E101" s="34"/>
      <c r="F101" s="34"/>
      <c r="G101" s="34"/>
      <c r="H101" s="34">
        <f>IFERROR(IF(B101="Column",INDEX(RadCompList!$C$4:$G$13,MATCH(C101,RadCompList!$B$4:$B$13),MATCH(Radiators!D101,RadCompList!$C$3:$G$3)),IF(B101="Tube",INDEX(RadCompList!$C$16:$I$22,MATCH(C101,RadCompList!$B$16:$B$22),MATCH(Radiators!D101,RadCompList!$C$15:$I$15)),IF(B101="Cast Rad/Conv",INDEX(RadCompList!$C$28:$D$28,MATCH(C101,RadCompList!$B$28),MATCH(Radiators!D101,RadCompList!$C$27:$D$27)),IF(B101="Copper Cabinet",(INDEX(RadCompList!$E$39:$J$78,MATCH(Radiators!D101,RadCompList!$D$39:$D$78,0),MATCH(C101,RadCompList!$E$38:$J$38,0))),0))))*E101,0)*$A$2</f>
        <v>0</v>
      </c>
      <c r="I101" s="34">
        <f t="shared" si="5"/>
        <v>0</v>
      </c>
      <c r="J101" s="35">
        <f>IFERROR(VLOOKUP(G101,VentList!$A$1:$D$198,2,FALSE),0)</f>
        <v>0</v>
      </c>
      <c r="K101" s="26">
        <f>IFERROR(VLOOKUP(B101,RadCompList!$P$3:$Q$6,2,FALSE)*H101,0)</f>
        <v>0</v>
      </c>
      <c r="L101" s="26" t="str">
        <f t="shared" si="8"/>
        <v>3/4</v>
      </c>
      <c r="M101" s="37">
        <f>Main!$G$8-0.0001306*N101^2 * F101*(1+3.6/VLOOKUP(L101,Calculations!$B$4:$F$15,2,FALSE))/(3600*Main!$C$7*VLOOKUP(L101,Calculations!$B$4:$F$15,2,FALSE)^5)</f>
        <v>0.14820436411902377</v>
      </c>
      <c r="N101" s="37">
        <f t="shared" si="6"/>
        <v>0</v>
      </c>
      <c r="O101" s="37">
        <f>IF(H101&lt;32,SteamProperties!$F$24*Radiators!F101,IF(H101&lt;56,SteamProperties!$F$25*Radiators!F101,SteamProperties!$F$26*Radiators!F101))</f>
        <v>0</v>
      </c>
      <c r="P101" s="37">
        <f>IF(H101&lt;32,Calculations!$F$5*Radiators!F101,IF(H101&lt;56,Calculations!$F$6*Radiators!F101,Calculations!$F$7*Radiators!F101))</f>
        <v>0</v>
      </c>
      <c r="Q101" s="37">
        <f t="shared" si="7"/>
        <v>0</v>
      </c>
    </row>
    <row r="102" spans="2:17">
      <c r="B102" s="33"/>
      <c r="C102" s="34"/>
      <c r="D102" s="34"/>
      <c r="E102" s="34"/>
      <c r="F102" s="34"/>
      <c r="G102" s="34"/>
      <c r="H102" s="34">
        <f>IFERROR(IF(B102="Column",INDEX(RadCompList!$C$4:$G$13,MATCH(C102,RadCompList!$B$4:$B$13),MATCH(Radiators!D102,RadCompList!$C$3:$G$3)),IF(B102="Tube",INDEX(RadCompList!$C$16:$I$22,MATCH(C102,RadCompList!$B$16:$B$22),MATCH(Radiators!D102,RadCompList!$C$15:$I$15)),IF(B102="Cast Rad/Conv",INDEX(RadCompList!$C$28:$D$28,MATCH(C102,RadCompList!$B$28),MATCH(Radiators!D102,RadCompList!$C$27:$D$27)),IF(B102="Copper Cabinet",(INDEX(RadCompList!$E$39:$J$78,MATCH(Radiators!D102,RadCompList!$D$39:$D$78,0),MATCH(C102,RadCompList!$E$38:$J$38,0))),0))))*E102,0)*$A$2</f>
        <v>0</v>
      </c>
      <c r="I102" s="34">
        <f t="shared" si="5"/>
        <v>0</v>
      </c>
      <c r="J102" s="35">
        <f>IFERROR(VLOOKUP(G102,VentList!$A$1:$D$198,2,FALSE),0)</f>
        <v>0</v>
      </c>
      <c r="K102" s="26">
        <f>IFERROR(VLOOKUP(B102,RadCompList!$P$3:$Q$6,2,FALSE)*H102,0)</f>
        <v>0</v>
      </c>
      <c r="L102" s="26" t="str">
        <f t="shared" si="8"/>
        <v>3/4</v>
      </c>
      <c r="M102" s="37">
        <f>Main!$G$8-0.0001306*N102^2 * F102*(1+3.6/VLOOKUP(L102,Calculations!$B$4:$F$15,2,FALSE))/(3600*Main!$C$7*VLOOKUP(L102,Calculations!$B$4:$F$15,2,FALSE)^5)</f>
        <v>0.14820436411902377</v>
      </c>
      <c r="N102" s="37">
        <f t="shared" si="6"/>
        <v>0</v>
      </c>
      <c r="O102" s="37">
        <f>IF(H102&lt;32,SteamProperties!$F$24*Radiators!F102,IF(H102&lt;56,SteamProperties!$F$25*Radiators!F102,SteamProperties!$F$26*Radiators!F102))</f>
        <v>0</v>
      </c>
      <c r="P102" s="37">
        <f>IF(H102&lt;32,Calculations!$F$5*Radiators!F102,IF(H102&lt;56,Calculations!$F$6*Radiators!F102,Calculations!$F$7*Radiators!F102))</f>
        <v>0</v>
      </c>
      <c r="Q102" s="37">
        <f t="shared" si="7"/>
        <v>0</v>
      </c>
    </row>
    <row r="103" spans="2:17">
      <c r="B103" s="33"/>
      <c r="C103" s="34"/>
      <c r="D103" s="34"/>
      <c r="E103" s="34"/>
      <c r="F103" s="34"/>
      <c r="G103" s="34"/>
      <c r="H103" s="34">
        <f>IFERROR(IF(B103="Column",INDEX(RadCompList!$C$4:$G$13,MATCH(C103,RadCompList!$B$4:$B$13),MATCH(Radiators!D103,RadCompList!$C$3:$G$3)),IF(B103="Tube",INDEX(RadCompList!$C$16:$I$22,MATCH(C103,RadCompList!$B$16:$B$22),MATCH(Radiators!D103,RadCompList!$C$15:$I$15)),IF(B103="Cast Rad/Conv",INDEX(RadCompList!$C$28:$D$28,MATCH(C103,RadCompList!$B$28),MATCH(Radiators!D103,RadCompList!$C$27:$D$27)),IF(B103="Copper Cabinet",(INDEX(RadCompList!$E$39:$J$78,MATCH(Radiators!D103,RadCompList!$D$39:$D$78,0),MATCH(C103,RadCompList!$E$38:$J$38,0))),0))))*E103,0)*$A$2</f>
        <v>0</v>
      </c>
      <c r="I103" s="34">
        <f t="shared" si="5"/>
        <v>0</v>
      </c>
      <c r="J103" s="35">
        <f>IFERROR(VLOOKUP(G103,VentList!$A$1:$D$198,2,FALSE),0)</f>
        <v>0</v>
      </c>
      <c r="K103" s="26">
        <f>IFERROR(VLOOKUP(B103,RadCompList!$P$3:$Q$6,2,FALSE)*H103,0)</f>
        <v>0</v>
      </c>
      <c r="L103" s="26" t="str">
        <f t="shared" si="8"/>
        <v>3/4</v>
      </c>
      <c r="M103" s="37">
        <f>Main!$G$8-0.0001306*N103^2 * F103*(1+3.6/VLOOKUP(L103,Calculations!$B$4:$F$15,2,FALSE))/(3600*Main!$C$7*VLOOKUP(L103,Calculations!$B$4:$F$15,2,FALSE)^5)</f>
        <v>0.14820436411902377</v>
      </c>
      <c r="N103" s="37">
        <f t="shared" si="6"/>
        <v>0</v>
      </c>
      <c r="O103" s="37">
        <f>IF(H103&lt;32,SteamProperties!$F$24*Radiators!F103,IF(H103&lt;56,SteamProperties!$F$25*Radiators!F103,SteamProperties!$F$26*Radiators!F103))</f>
        <v>0</v>
      </c>
      <c r="P103" s="37">
        <f>IF(H103&lt;32,Calculations!$F$5*Radiators!F103,IF(H103&lt;56,Calculations!$F$6*Radiators!F103,Calculations!$F$7*Radiators!F103))</f>
        <v>0</v>
      </c>
      <c r="Q103" s="37">
        <f t="shared" si="7"/>
        <v>0</v>
      </c>
    </row>
    <row r="104" spans="2:17">
      <c r="B104" s="33"/>
      <c r="C104" s="34"/>
      <c r="D104" s="34"/>
      <c r="E104" s="34"/>
      <c r="F104" s="34"/>
      <c r="G104" s="34"/>
      <c r="H104" s="34">
        <f>IFERROR(IF(B104="Column",INDEX(RadCompList!$C$4:$G$13,MATCH(C104,RadCompList!$B$4:$B$13),MATCH(Radiators!D104,RadCompList!$C$3:$G$3)),IF(B104="Tube",INDEX(RadCompList!$C$16:$I$22,MATCH(C104,RadCompList!$B$16:$B$22),MATCH(Radiators!D104,RadCompList!$C$15:$I$15)),IF(B104="Cast Rad/Conv",INDEX(RadCompList!$C$28:$D$28,MATCH(C104,RadCompList!$B$28),MATCH(Radiators!D104,RadCompList!$C$27:$D$27)),IF(B104="Copper Cabinet",(INDEX(RadCompList!$E$39:$J$78,MATCH(Radiators!D104,RadCompList!$D$39:$D$78,0),MATCH(C104,RadCompList!$E$38:$J$38,0))),0))))*E104,0)*$A$2</f>
        <v>0</v>
      </c>
      <c r="I104" s="34">
        <f t="shared" si="5"/>
        <v>0</v>
      </c>
      <c r="J104" s="35">
        <f>IFERROR(VLOOKUP(G104,VentList!$A$1:$D$198,2,FALSE),0)</f>
        <v>0</v>
      </c>
      <c r="K104" s="26">
        <f>IFERROR(VLOOKUP(B104,RadCompList!$P$3:$Q$6,2,FALSE)*H104,0)</f>
        <v>0</v>
      </c>
      <c r="L104" s="26" t="str">
        <f t="shared" si="8"/>
        <v>3/4</v>
      </c>
      <c r="M104" s="37">
        <f>Main!$G$8-0.0001306*N104^2 * F104*(1+3.6/VLOOKUP(L104,Calculations!$B$4:$F$15,2,FALSE))/(3600*Main!$C$7*VLOOKUP(L104,Calculations!$B$4:$F$15,2,FALSE)^5)</f>
        <v>0.14820436411902377</v>
      </c>
      <c r="N104" s="37">
        <f t="shared" si="6"/>
        <v>0</v>
      </c>
      <c r="O104" s="37">
        <f>IF(H104&lt;32,SteamProperties!$F$24*Radiators!F104,IF(H104&lt;56,SteamProperties!$F$25*Radiators!F104,SteamProperties!$F$26*Radiators!F104))</f>
        <v>0</v>
      </c>
      <c r="P104" s="37">
        <f>IF(H104&lt;32,Calculations!$F$5*Radiators!F104,IF(H104&lt;56,Calculations!$F$6*Radiators!F104,Calculations!$F$7*Radiators!F104))</f>
        <v>0</v>
      </c>
      <c r="Q104" s="37">
        <f t="shared" si="7"/>
        <v>0</v>
      </c>
    </row>
    <row r="105" spans="2:17">
      <c r="B105" s="33"/>
      <c r="C105" s="34"/>
      <c r="D105" s="34"/>
      <c r="E105" s="34"/>
      <c r="F105" s="34"/>
      <c r="G105" s="34"/>
      <c r="H105" s="34">
        <f>IFERROR(IF(B105="Column",INDEX(RadCompList!$C$4:$G$13,MATCH(C105,RadCompList!$B$4:$B$13),MATCH(Radiators!D105,RadCompList!$C$3:$G$3)),IF(B105="Tube",INDEX(RadCompList!$C$16:$I$22,MATCH(C105,RadCompList!$B$16:$B$22),MATCH(Radiators!D105,RadCompList!$C$15:$I$15)),IF(B105="Cast Rad/Conv",INDEX(RadCompList!$C$28:$D$28,MATCH(C105,RadCompList!$B$28),MATCH(Radiators!D105,RadCompList!$C$27:$D$27)),IF(B105="Copper Cabinet",(INDEX(RadCompList!$E$39:$J$78,MATCH(Radiators!D105,RadCompList!$D$39:$D$78,0),MATCH(C105,RadCompList!$E$38:$J$38,0))),0))))*E105,0)*$A$2</f>
        <v>0</v>
      </c>
      <c r="I105" s="34">
        <f t="shared" si="5"/>
        <v>0</v>
      </c>
      <c r="J105" s="35">
        <f>IFERROR(VLOOKUP(G105,VentList!$A$1:$D$198,2,FALSE),0)</f>
        <v>0</v>
      </c>
      <c r="K105" s="26">
        <f>IFERROR(VLOOKUP(B105,RadCompList!$P$3:$Q$6,2,FALSE)*H105,0)</f>
        <v>0</v>
      </c>
      <c r="L105" s="26" t="str">
        <f t="shared" si="8"/>
        <v>3/4</v>
      </c>
      <c r="M105" s="37">
        <f>Main!$G$8-0.0001306*N105^2 * F105*(1+3.6/VLOOKUP(L105,Calculations!$B$4:$F$15,2,FALSE))/(3600*Main!$C$7*VLOOKUP(L105,Calculations!$B$4:$F$15,2,FALSE)^5)</f>
        <v>0.14820436411902377</v>
      </c>
      <c r="N105" s="37">
        <f t="shared" si="6"/>
        <v>0</v>
      </c>
      <c r="O105" s="37">
        <f>IF(H105&lt;32,SteamProperties!$F$24*Radiators!F105,IF(H105&lt;56,SteamProperties!$F$25*Radiators!F105,SteamProperties!$F$26*Radiators!F105))</f>
        <v>0</v>
      </c>
      <c r="P105" s="37">
        <f>IF(H105&lt;32,Calculations!$F$5*Radiators!F105,IF(H105&lt;56,Calculations!$F$6*Radiators!F105,Calculations!$F$7*Radiators!F105))</f>
        <v>0</v>
      </c>
      <c r="Q105" s="37">
        <f t="shared" si="7"/>
        <v>0</v>
      </c>
    </row>
    <row r="106" spans="2:17">
      <c r="B106" s="33"/>
      <c r="C106" s="34"/>
      <c r="D106" s="34"/>
      <c r="E106" s="34"/>
      <c r="F106" s="34"/>
      <c r="G106" s="34"/>
      <c r="H106" s="34">
        <f>IFERROR(IF(B106="Column",INDEX(RadCompList!$C$4:$G$13,MATCH(C106,RadCompList!$B$4:$B$13),MATCH(Radiators!D106,RadCompList!$C$3:$G$3)),IF(B106="Tube",INDEX(RadCompList!$C$16:$I$22,MATCH(C106,RadCompList!$B$16:$B$22),MATCH(Radiators!D106,RadCompList!$C$15:$I$15)),IF(B106="Cast Rad/Conv",INDEX(RadCompList!$C$28:$D$28,MATCH(C106,RadCompList!$B$28),MATCH(Radiators!D106,RadCompList!$C$27:$D$27)),IF(B106="Copper Cabinet",(INDEX(RadCompList!$E$39:$J$78,MATCH(Radiators!D106,RadCompList!$D$39:$D$78,0),MATCH(C106,RadCompList!$E$38:$J$38,0))),0))))*E106,0)*$A$2</f>
        <v>0</v>
      </c>
      <c r="I106" s="34">
        <f t="shared" si="5"/>
        <v>0</v>
      </c>
      <c r="J106" s="35">
        <f>IFERROR(VLOOKUP(G106,VentList!$A$1:$D$198,2,FALSE),0)</f>
        <v>0</v>
      </c>
      <c r="K106" s="26">
        <f>IFERROR(VLOOKUP(B106,RadCompList!$P$3:$Q$6,2,FALSE)*H106,0)</f>
        <v>0</v>
      </c>
      <c r="L106" s="26" t="str">
        <f t="shared" si="8"/>
        <v>3/4</v>
      </c>
      <c r="M106" s="37">
        <f>Main!$G$8-0.0001306*N106^2 * F106*(1+3.6/VLOOKUP(L106,Calculations!$B$4:$F$15,2,FALSE))/(3600*Main!$C$7*VLOOKUP(L106,Calculations!$B$4:$F$15,2,FALSE)^5)</f>
        <v>0.14820436411902377</v>
      </c>
      <c r="N106" s="37">
        <f t="shared" si="6"/>
        <v>0</v>
      </c>
      <c r="O106" s="37">
        <f>IF(H106&lt;32,SteamProperties!$F$24*Radiators!F106,IF(H106&lt;56,SteamProperties!$F$25*Radiators!F106,SteamProperties!$F$26*Radiators!F106))</f>
        <v>0</v>
      </c>
      <c r="P106" s="37">
        <f>IF(H106&lt;32,Calculations!$F$5*Radiators!F106,IF(H106&lt;56,Calculations!$F$6*Radiators!F106,Calculations!$F$7*Radiators!F106))</f>
        <v>0</v>
      </c>
      <c r="Q106" s="37">
        <f t="shared" si="7"/>
        <v>0</v>
      </c>
    </row>
    <row r="107" spans="2:17">
      <c r="B107" s="33"/>
      <c r="C107" s="34"/>
      <c r="D107" s="34"/>
      <c r="E107" s="34"/>
      <c r="F107" s="34"/>
      <c r="G107" s="34"/>
      <c r="H107" s="34">
        <f>IFERROR(IF(B107="Column",INDEX(RadCompList!$C$4:$G$13,MATCH(C107,RadCompList!$B$4:$B$13),MATCH(Radiators!D107,RadCompList!$C$3:$G$3)),IF(B107="Tube",INDEX(RadCompList!$C$16:$I$22,MATCH(C107,RadCompList!$B$16:$B$22),MATCH(Radiators!D107,RadCompList!$C$15:$I$15)),IF(B107="Cast Rad/Conv",INDEX(RadCompList!$C$28:$D$28,MATCH(C107,RadCompList!$B$28),MATCH(Radiators!D107,RadCompList!$C$27:$D$27)),IF(B107="Copper Cabinet",(INDEX(RadCompList!$E$39:$J$78,MATCH(Radiators!D107,RadCompList!$D$39:$D$78,0),MATCH(C107,RadCompList!$E$38:$J$38,0))),0))))*E107,0)*$A$2</f>
        <v>0</v>
      </c>
      <c r="I107" s="34">
        <f t="shared" si="5"/>
        <v>0</v>
      </c>
      <c r="J107" s="35">
        <f>IFERROR(VLOOKUP(G107,VentList!$A$1:$D$198,2,FALSE),0)</f>
        <v>0</v>
      </c>
      <c r="K107" s="26">
        <f>IFERROR(VLOOKUP(B107,RadCompList!$P$3:$Q$6,2,FALSE)*H107,0)</f>
        <v>0</v>
      </c>
      <c r="L107" s="26" t="str">
        <f t="shared" si="8"/>
        <v>3/4</v>
      </c>
      <c r="M107" s="37">
        <f>Main!$G$8-0.0001306*N107^2 * F107*(1+3.6/VLOOKUP(L107,Calculations!$B$4:$F$15,2,FALSE))/(3600*Main!$C$7*VLOOKUP(L107,Calculations!$B$4:$F$15,2,FALSE)^5)</f>
        <v>0.14820436411902377</v>
      </c>
      <c r="N107" s="37">
        <f t="shared" si="6"/>
        <v>0</v>
      </c>
      <c r="O107" s="37">
        <f>IF(H107&lt;32,SteamProperties!$F$24*Radiators!F107,IF(H107&lt;56,SteamProperties!$F$25*Radiators!F107,SteamProperties!$F$26*Radiators!F107))</f>
        <v>0</v>
      </c>
      <c r="P107" s="37">
        <f>IF(H107&lt;32,Calculations!$F$5*Radiators!F107,IF(H107&lt;56,Calculations!$F$6*Radiators!F107,Calculations!$F$7*Radiators!F107))</f>
        <v>0</v>
      </c>
      <c r="Q107" s="37">
        <f t="shared" si="7"/>
        <v>0</v>
      </c>
    </row>
    <row r="108" spans="2:17">
      <c r="B108" s="33"/>
      <c r="C108" s="34"/>
      <c r="D108" s="34"/>
      <c r="E108" s="34"/>
      <c r="F108" s="34"/>
      <c r="G108" s="34"/>
      <c r="H108" s="34">
        <f>IFERROR(IF(B108="Column",INDEX(RadCompList!$C$4:$G$13,MATCH(C108,RadCompList!$B$4:$B$13),MATCH(Radiators!D108,RadCompList!$C$3:$G$3)),IF(B108="Tube",INDEX(RadCompList!$C$16:$I$22,MATCH(C108,RadCompList!$B$16:$B$22),MATCH(Radiators!D108,RadCompList!$C$15:$I$15)),IF(B108="Cast Rad/Conv",INDEX(RadCompList!$C$28:$D$28,MATCH(C108,RadCompList!$B$28),MATCH(Radiators!D108,RadCompList!$C$27:$D$27)),IF(B108="Copper Cabinet",(INDEX(RadCompList!$E$39:$J$78,MATCH(Radiators!D108,RadCompList!$D$39:$D$78,0),MATCH(C108,RadCompList!$E$38:$J$38,0))),0))))*E108,0)*$A$2</f>
        <v>0</v>
      </c>
      <c r="I108" s="34">
        <f t="shared" si="5"/>
        <v>0</v>
      </c>
      <c r="J108" s="35">
        <f>IFERROR(VLOOKUP(G108,VentList!$A$1:$D$198,2,FALSE),0)</f>
        <v>0</v>
      </c>
      <c r="K108" s="26">
        <f>IFERROR(VLOOKUP(B108,RadCompList!$P$3:$Q$6,2,FALSE)*H108,0)</f>
        <v>0</v>
      </c>
      <c r="L108" s="26" t="str">
        <f t="shared" si="8"/>
        <v>3/4</v>
      </c>
      <c r="M108" s="37">
        <f>Main!$G$8-0.0001306*N108^2 * F108*(1+3.6/VLOOKUP(L108,Calculations!$B$4:$F$15,2,FALSE))/(3600*Main!$C$7*VLOOKUP(L108,Calculations!$B$4:$F$15,2,FALSE)^5)</f>
        <v>0.14820436411902377</v>
      </c>
      <c r="N108" s="37">
        <f t="shared" si="6"/>
        <v>0</v>
      </c>
      <c r="O108" s="37">
        <f>IF(H108&lt;32,SteamProperties!$F$24*Radiators!F108,IF(H108&lt;56,SteamProperties!$F$25*Radiators!F108,SteamProperties!$F$26*Radiators!F108))</f>
        <v>0</v>
      </c>
      <c r="P108" s="37">
        <f>IF(H108&lt;32,Calculations!$F$5*Radiators!F108,IF(H108&lt;56,Calculations!$F$6*Radiators!F108,Calculations!$F$7*Radiators!F108))</f>
        <v>0</v>
      </c>
      <c r="Q108" s="37">
        <f t="shared" si="7"/>
        <v>0</v>
      </c>
    </row>
    <row r="109" spans="2:17">
      <c r="B109" s="33"/>
      <c r="C109" s="34"/>
      <c r="D109" s="34"/>
      <c r="E109" s="34"/>
      <c r="F109" s="34"/>
      <c r="G109" s="34"/>
      <c r="H109" s="34">
        <f>IFERROR(IF(B109="Column",INDEX(RadCompList!$C$4:$G$13,MATCH(C109,RadCompList!$B$4:$B$13),MATCH(Radiators!D109,RadCompList!$C$3:$G$3)),IF(B109="Tube",INDEX(RadCompList!$C$16:$I$22,MATCH(C109,RadCompList!$B$16:$B$22),MATCH(Radiators!D109,RadCompList!$C$15:$I$15)),IF(B109="Cast Rad/Conv",INDEX(RadCompList!$C$28:$D$28,MATCH(C109,RadCompList!$B$28),MATCH(Radiators!D109,RadCompList!$C$27:$D$27)),IF(B109="Copper Cabinet",(INDEX(RadCompList!$E$39:$J$78,MATCH(Radiators!D109,RadCompList!$D$39:$D$78,0),MATCH(C109,RadCompList!$E$38:$J$38,0))),0))))*E109,0)*$A$2</f>
        <v>0</v>
      </c>
      <c r="I109" s="34">
        <f t="shared" si="5"/>
        <v>0</v>
      </c>
      <c r="J109" s="35">
        <f>IFERROR(VLOOKUP(G109,VentList!$A$1:$D$198,2,FALSE),0)</f>
        <v>0</v>
      </c>
      <c r="K109" s="26">
        <f>IFERROR(VLOOKUP(B109,RadCompList!$P$3:$Q$6,2,FALSE)*H109,0)</f>
        <v>0</v>
      </c>
      <c r="L109" s="26" t="str">
        <f t="shared" si="8"/>
        <v>3/4</v>
      </c>
      <c r="M109" s="37">
        <f>Main!$G$8-0.0001306*N109^2 * F109*(1+3.6/VLOOKUP(L109,Calculations!$B$4:$F$15,2,FALSE))/(3600*Main!$C$7*VLOOKUP(L109,Calculations!$B$4:$F$15,2,FALSE)^5)</f>
        <v>0.14820436411902377</v>
      </c>
      <c r="N109" s="37">
        <f t="shared" si="6"/>
        <v>0</v>
      </c>
      <c r="O109" s="37">
        <f>IF(H109&lt;32,SteamProperties!$F$24*Radiators!F109,IF(H109&lt;56,SteamProperties!$F$25*Radiators!F109,SteamProperties!$F$26*Radiators!F109))</f>
        <v>0</v>
      </c>
      <c r="P109" s="37">
        <f>IF(H109&lt;32,Calculations!$F$5*Radiators!F109,IF(H109&lt;56,Calculations!$F$6*Radiators!F109,Calculations!$F$7*Radiators!F109))</f>
        <v>0</v>
      </c>
      <c r="Q109" s="37">
        <f t="shared" si="7"/>
        <v>0</v>
      </c>
    </row>
    <row r="110" spans="2:17">
      <c r="B110" s="33"/>
      <c r="C110" s="34"/>
      <c r="D110" s="34"/>
      <c r="E110" s="34"/>
      <c r="F110" s="34"/>
      <c r="G110" s="34"/>
      <c r="H110" s="34">
        <f>IFERROR(IF(B110="Column",INDEX(RadCompList!$C$4:$G$13,MATCH(C110,RadCompList!$B$4:$B$13),MATCH(Radiators!D110,RadCompList!$C$3:$G$3)),IF(B110="Tube",INDEX(RadCompList!$C$16:$I$22,MATCH(C110,RadCompList!$B$16:$B$22),MATCH(Radiators!D110,RadCompList!$C$15:$I$15)),IF(B110="Cast Rad/Conv",INDEX(RadCompList!$C$28:$D$28,MATCH(C110,RadCompList!$B$28),MATCH(Radiators!D110,RadCompList!$C$27:$D$27)),IF(B110="Copper Cabinet",(INDEX(RadCompList!$E$39:$J$78,MATCH(Radiators!D110,RadCompList!$D$39:$D$78,0),MATCH(C110,RadCompList!$E$38:$J$38,0))),0))))*E110,0)*$A$2</f>
        <v>0</v>
      </c>
      <c r="I110" s="34">
        <f t="shared" si="5"/>
        <v>0</v>
      </c>
      <c r="J110" s="35">
        <f>IFERROR(VLOOKUP(G110,VentList!$A$1:$D$198,2,FALSE),0)</f>
        <v>0</v>
      </c>
      <c r="K110" s="26">
        <f>IFERROR(VLOOKUP(B110,RadCompList!$P$3:$Q$6,2,FALSE)*H110,0)</f>
        <v>0</v>
      </c>
      <c r="L110" s="26" t="str">
        <f t="shared" si="8"/>
        <v>3/4</v>
      </c>
      <c r="M110" s="37">
        <f>Main!$G$8-0.0001306*N110^2 * F110*(1+3.6/VLOOKUP(L110,Calculations!$B$4:$F$15,2,FALSE))/(3600*Main!$C$7*VLOOKUP(L110,Calculations!$B$4:$F$15,2,FALSE)^5)</f>
        <v>0.14820436411902377</v>
      </c>
      <c r="N110" s="37">
        <f t="shared" si="6"/>
        <v>0</v>
      </c>
      <c r="O110" s="37">
        <f>IF(H110&lt;32,SteamProperties!$F$24*Radiators!F110,IF(H110&lt;56,SteamProperties!$F$25*Radiators!F110,SteamProperties!$F$26*Radiators!F110))</f>
        <v>0</v>
      </c>
      <c r="P110" s="37">
        <f>IF(H110&lt;32,Calculations!$F$5*Radiators!F110,IF(H110&lt;56,Calculations!$F$6*Radiators!F110,Calculations!$F$7*Radiators!F110))</f>
        <v>0</v>
      </c>
      <c r="Q110" s="37">
        <f t="shared" si="7"/>
        <v>0</v>
      </c>
    </row>
    <row r="111" spans="2:17">
      <c r="B111" s="33"/>
      <c r="C111" s="34"/>
      <c r="D111" s="34"/>
      <c r="E111" s="34"/>
      <c r="F111" s="34"/>
      <c r="G111" s="34"/>
      <c r="H111" s="34">
        <f>IFERROR(IF(B111="Column",INDEX(RadCompList!$C$4:$G$13,MATCH(C111,RadCompList!$B$4:$B$13),MATCH(Radiators!D111,RadCompList!$C$3:$G$3)),IF(B111="Tube",INDEX(RadCompList!$C$16:$I$22,MATCH(C111,RadCompList!$B$16:$B$22),MATCH(Radiators!D111,RadCompList!$C$15:$I$15)),IF(B111="Cast Rad/Conv",INDEX(RadCompList!$C$28:$D$28,MATCH(C111,RadCompList!$B$28),MATCH(Radiators!D111,RadCompList!$C$27:$D$27)),IF(B111="Copper Cabinet",(INDEX(RadCompList!$E$39:$J$78,MATCH(Radiators!D111,RadCompList!$D$39:$D$78,0),MATCH(C111,RadCompList!$E$38:$J$38,0))),0))))*E111,0)*$A$2</f>
        <v>0</v>
      </c>
      <c r="I111" s="34">
        <f t="shared" si="5"/>
        <v>0</v>
      </c>
      <c r="J111" s="35">
        <f>IFERROR(VLOOKUP(G111,VentList!$A$1:$D$198,2,FALSE),0)</f>
        <v>0</v>
      </c>
      <c r="K111" s="26">
        <f>IFERROR(VLOOKUP(B111,RadCompList!$P$3:$Q$6,2,FALSE)*H111,0)</f>
        <v>0</v>
      </c>
      <c r="L111" s="26" t="str">
        <f t="shared" si="8"/>
        <v>3/4</v>
      </c>
      <c r="M111" s="37">
        <f>Main!$G$8-0.0001306*N111^2 * F111*(1+3.6/VLOOKUP(L111,Calculations!$B$4:$F$15,2,FALSE))/(3600*Main!$C$7*VLOOKUP(L111,Calculations!$B$4:$F$15,2,FALSE)^5)</f>
        <v>0.14820436411902377</v>
      </c>
      <c r="N111" s="37">
        <f t="shared" si="6"/>
        <v>0</v>
      </c>
      <c r="O111" s="37">
        <f>IF(H111&lt;32,SteamProperties!$F$24*Radiators!F111,IF(H111&lt;56,SteamProperties!$F$25*Radiators!F111,SteamProperties!$F$26*Radiators!F111))</f>
        <v>0</v>
      </c>
      <c r="P111" s="37">
        <f>IF(H111&lt;32,Calculations!$F$5*Radiators!F111,IF(H111&lt;56,Calculations!$F$6*Radiators!F111,Calculations!$F$7*Radiators!F111))</f>
        <v>0</v>
      </c>
      <c r="Q111" s="37">
        <f t="shared" si="7"/>
        <v>0</v>
      </c>
    </row>
    <row r="112" spans="2:17">
      <c r="B112" s="33"/>
      <c r="C112" s="34"/>
      <c r="D112" s="34"/>
      <c r="E112" s="34"/>
      <c r="F112" s="34"/>
      <c r="G112" s="34"/>
      <c r="H112" s="34">
        <f>IFERROR(IF(B112="Column",INDEX(RadCompList!$C$4:$G$13,MATCH(C112,RadCompList!$B$4:$B$13),MATCH(Radiators!D112,RadCompList!$C$3:$G$3)),IF(B112="Tube",INDEX(RadCompList!$C$16:$I$22,MATCH(C112,RadCompList!$B$16:$B$22),MATCH(Radiators!D112,RadCompList!$C$15:$I$15)),IF(B112="Cast Rad/Conv",INDEX(RadCompList!$C$28:$D$28,MATCH(C112,RadCompList!$B$28),MATCH(Radiators!D112,RadCompList!$C$27:$D$27)),IF(B112="Copper Cabinet",(INDEX(RadCompList!$E$39:$J$78,MATCH(Radiators!D112,RadCompList!$D$39:$D$78,0),MATCH(C112,RadCompList!$E$38:$J$38,0))),0))))*E112,0)*$A$2</f>
        <v>0</v>
      </c>
      <c r="I112" s="34">
        <f t="shared" si="5"/>
        <v>0</v>
      </c>
      <c r="J112" s="35">
        <f>IFERROR(VLOOKUP(G112,VentList!$A$1:$D$198,2,FALSE),0)</f>
        <v>0</v>
      </c>
      <c r="K112" s="26">
        <f>IFERROR(VLOOKUP(B112,RadCompList!$P$3:$Q$6,2,FALSE)*H112,0)</f>
        <v>0</v>
      </c>
      <c r="L112" s="26" t="str">
        <f t="shared" si="8"/>
        <v>3/4</v>
      </c>
      <c r="M112" s="37">
        <f>Main!$G$8-0.0001306*N112^2 * F112*(1+3.6/VLOOKUP(L112,Calculations!$B$4:$F$15,2,FALSE))/(3600*Main!$C$7*VLOOKUP(L112,Calculations!$B$4:$F$15,2,FALSE)^5)</f>
        <v>0.14820436411902377</v>
      </c>
      <c r="N112" s="37">
        <f t="shared" si="6"/>
        <v>0</v>
      </c>
      <c r="O112" s="37">
        <f>IF(H112&lt;32,SteamProperties!$F$24*Radiators!F112,IF(H112&lt;56,SteamProperties!$F$25*Radiators!F112,SteamProperties!$F$26*Radiators!F112))</f>
        <v>0</v>
      </c>
      <c r="P112" s="37">
        <f>IF(H112&lt;32,Calculations!$F$5*Radiators!F112,IF(H112&lt;56,Calculations!$F$6*Radiators!F112,Calculations!$F$7*Radiators!F112))</f>
        <v>0</v>
      </c>
      <c r="Q112" s="37">
        <f t="shared" si="7"/>
        <v>0</v>
      </c>
    </row>
    <row r="113" spans="2:17">
      <c r="B113" s="33"/>
      <c r="C113" s="34"/>
      <c r="D113" s="34"/>
      <c r="E113" s="34"/>
      <c r="F113" s="34"/>
      <c r="G113" s="34"/>
      <c r="H113" s="34">
        <f>IFERROR(IF(B113="Column",INDEX(RadCompList!$C$4:$G$13,MATCH(C113,RadCompList!$B$4:$B$13),MATCH(Radiators!D113,RadCompList!$C$3:$G$3)),IF(B113="Tube",INDEX(RadCompList!$C$16:$I$22,MATCH(C113,RadCompList!$B$16:$B$22),MATCH(Radiators!D113,RadCompList!$C$15:$I$15)),IF(B113="Cast Rad/Conv",INDEX(RadCompList!$C$28:$D$28,MATCH(C113,RadCompList!$B$28),MATCH(Radiators!D113,RadCompList!$C$27:$D$27)),IF(B113="Copper Cabinet",(INDEX(RadCompList!$E$39:$J$78,MATCH(Radiators!D113,RadCompList!$D$39:$D$78,0),MATCH(C113,RadCompList!$E$38:$J$38,0))),0))))*E113,0)*$A$2</f>
        <v>0</v>
      </c>
      <c r="I113" s="34">
        <f t="shared" si="5"/>
        <v>0</v>
      </c>
      <c r="J113" s="35">
        <f>IFERROR(VLOOKUP(G113,VentList!$A$1:$D$198,2,FALSE),0)</f>
        <v>0</v>
      </c>
      <c r="K113" s="26">
        <f>IFERROR(VLOOKUP(B113,RadCompList!$P$3:$Q$6,2,FALSE)*H113,0)</f>
        <v>0</v>
      </c>
      <c r="L113" s="26" t="str">
        <f t="shared" si="8"/>
        <v>3/4</v>
      </c>
      <c r="M113" s="37">
        <f>Main!$G$8-0.0001306*N113^2 * F113*(1+3.6/VLOOKUP(L113,Calculations!$B$4:$F$15,2,FALSE))/(3600*Main!$C$7*VLOOKUP(L113,Calculations!$B$4:$F$15,2,FALSE)^5)</f>
        <v>0.14820436411902377</v>
      </c>
      <c r="N113" s="37">
        <f t="shared" si="6"/>
        <v>0</v>
      </c>
      <c r="O113" s="37">
        <f>IF(H113&lt;32,SteamProperties!$F$24*Radiators!F113,IF(H113&lt;56,SteamProperties!$F$25*Radiators!F113,SteamProperties!$F$26*Radiators!F113))</f>
        <v>0</v>
      </c>
      <c r="P113" s="37">
        <f>IF(H113&lt;32,Calculations!$F$5*Radiators!F113,IF(H113&lt;56,Calculations!$F$6*Radiators!F113,Calculations!$F$7*Radiators!F113))</f>
        <v>0</v>
      </c>
      <c r="Q113" s="37">
        <f t="shared" si="7"/>
        <v>0</v>
      </c>
    </row>
    <row r="114" spans="2:17">
      <c r="B114" s="33"/>
      <c r="C114" s="34"/>
      <c r="D114" s="34"/>
      <c r="E114" s="34"/>
      <c r="F114" s="34"/>
      <c r="G114" s="34"/>
      <c r="H114" s="34">
        <f>IFERROR(IF(B114="Column",INDEX(RadCompList!$C$4:$G$13,MATCH(C114,RadCompList!$B$4:$B$13),MATCH(Radiators!D114,RadCompList!$C$3:$G$3)),IF(B114="Tube",INDEX(RadCompList!$C$16:$I$22,MATCH(C114,RadCompList!$B$16:$B$22),MATCH(Radiators!D114,RadCompList!$C$15:$I$15)),IF(B114="Cast Rad/Conv",INDEX(RadCompList!$C$28:$D$28,MATCH(C114,RadCompList!$B$28),MATCH(Radiators!D114,RadCompList!$C$27:$D$27)),IF(B114="Copper Cabinet",(INDEX(RadCompList!$E$39:$J$78,MATCH(Radiators!D114,RadCompList!$D$39:$D$78,0),MATCH(C114,RadCompList!$E$38:$J$38,0))),0))))*E114,0)*$A$2</f>
        <v>0</v>
      </c>
      <c r="I114" s="34">
        <f t="shared" si="5"/>
        <v>0</v>
      </c>
      <c r="J114" s="35">
        <f>IFERROR(VLOOKUP(G114,VentList!$A$1:$D$198,2,FALSE),0)</f>
        <v>0</v>
      </c>
      <c r="K114" s="26">
        <f>IFERROR(VLOOKUP(B114,RadCompList!$P$3:$Q$6,2,FALSE)*H114,0)</f>
        <v>0</v>
      </c>
      <c r="L114" s="26" t="str">
        <f t="shared" si="8"/>
        <v>3/4</v>
      </c>
      <c r="M114" s="37">
        <f>Main!$G$8-0.0001306*N114^2 * F114*(1+3.6/VLOOKUP(L114,Calculations!$B$4:$F$15,2,FALSE))/(3600*Main!$C$7*VLOOKUP(L114,Calculations!$B$4:$F$15,2,FALSE)^5)</f>
        <v>0.14820436411902377</v>
      </c>
      <c r="N114" s="37">
        <f t="shared" si="6"/>
        <v>0</v>
      </c>
      <c r="O114" s="37">
        <f>IF(H114&lt;32,SteamProperties!$F$24*Radiators!F114,IF(H114&lt;56,SteamProperties!$F$25*Radiators!F114,SteamProperties!$F$26*Radiators!F114))</f>
        <v>0</v>
      </c>
      <c r="P114" s="37">
        <f>IF(H114&lt;32,Calculations!$F$5*Radiators!F114,IF(H114&lt;56,Calculations!$F$6*Radiators!F114,Calculations!$F$7*Radiators!F114))</f>
        <v>0</v>
      </c>
      <c r="Q114" s="37">
        <f t="shared" si="7"/>
        <v>0</v>
      </c>
    </row>
    <row r="115" spans="2:17">
      <c r="B115" s="33"/>
      <c r="C115" s="34"/>
      <c r="D115" s="34"/>
      <c r="E115" s="34"/>
      <c r="F115" s="34"/>
      <c r="G115" s="34"/>
      <c r="H115" s="34">
        <f>IFERROR(IF(B115="Column",INDEX(RadCompList!$C$4:$G$13,MATCH(C115,RadCompList!$B$4:$B$13),MATCH(Radiators!D115,RadCompList!$C$3:$G$3)),IF(B115="Tube",INDEX(RadCompList!$C$16:$I$22,MATCH(C115,RadCompList!$B$16:$B$22),MATCH(Radiators!D115,RadCompList!$C$15:$I$15)),IF(B115="Cast Rad/Conv",INDEX(RadCompList!$C$28:$D$28,MATCH(C115,RadCompList!$B$28),MATCH(Radiators!D115,RadCompList!$C$27:$D$27)),IF(B115="Copper Cabinet",(INDEX(RadCompList!$E$39:$J$78,MATCH(Radiators!D115,RadCompList!$D$39:$D$78,0),MATCH(C115,RadCompList!$E$38:$J$38,0))),0))))*E115,0)*$A$2</f>
        <v>0</v>
      </c>
      <c r="I115" s="34">
        <f t="shared" si="5"/>
        <v>0</v>
      </c>
      <c r="J115" s="35">
        <f>IFERROR(VLOOKUP(G115,VentList!$A$1:$D$198,2,FALSE),0)</f>
        <v>0</v>
      </c>
      <c r="K115" s="26">
        <f>IFERROR(VLOOKUP(B115,RadCompList!$P$3:$Q$6,2,FALSE)*H115,0)</f>
        <v>0</v>
      </c>
      <c r="L115" s="26" t="str">
        <f t="shared" si="8"/>
        <v>3/4</v>
      </c>
      <c r="M115" s="37">
        <f>Main!$G$8-0.0001306*N115^2 * F115*(1+3.6/VLOOKUP(L115,Calculations!$B$4:$F$15,2,FALSE))/(3600*Main!$C$7*VLOOKUP(L115,Calculations!$B$4:$F$15,2,FALSE)^5)</f>
        <v>0.14820436411902377</v>
      </c>
      <c r="N115" s="37">
        <f t="shared" si="6"/>
        <v>0</v>
      </c>
      <c r="O115" s="37">
        <f>IF(H115&lt;32,SteamProperties!$F$24*Radiators!F115,IF(H115&lt;56,SteamProperties!$F$25*Radiators!F115,SteamProperties!$F$26*Radiators!F115))</f>
        <v>0</v>
      </c>
      <c r="P115" s="37">
        <f>IF(H115&lt;32,Calculations!$F$5*Radiators!F115,IF(H115&lt;56,Calculations!$F$6*Radiators!F115,Calculations!$F$7*Radiators!F115))</f>
        <v>0</v>
      </c>
      <c r="Q115" s="37">
        <f t="shared" si="7"/>
        <v>0</v>
      </c>
    </row>
    <row r="116" spans="2:17">
      <c r="B116" s="33"/>
      <c r="C116" s="34"/>
      <c r="D116" s="34"/>
      <c r="E116" s="34"/>
      <c r="F116" s="34"/>
      <c r="G116" s="34"/>
      <c r="H116" s="34">
        <f>IFERROR(IF(B116="Column",INDEX(RadCompList!$C$4:$G$13,MATCH(C116,RadCompList!$B$4:$B$13),MATCH(Radiators!D116,RadCompList!$C$3:$G$3)),IF(B116="Tube",INDEX(RadCompList!$C$16:$I$22,MATCH(C116,RadCompList!$B$16:$B$22),MATCH(Radiators!D116,RadCompList!$C$15:$I$15)),IF(B116="Cast Rad/Conv",INDEX(RadCompList!$C$28:$D$28,MATCH(C116,RadCompList!$B$28),MATCH(Radiators!D116,RadCompList!$C$27:$D$27)),IF(B116="Copper Cabinet",(INDEX(RadCompList!$E$39:$J$78,MATCH(Radiators!D116,RadCompList!$D$39:$D$78,0),MATCH(C116,RadCompList!$E$38:$J$38,0))),0))))*E116,0)*$A$2</f>
        <v>0</v>
      </c>
      <c r="I116" s="34">
        <f t="shared" si="5"/>
        <v>0</v>
      </c>
      <c r="J116" s="35">
        <f>IFERROR(VLOOKUP(G116,VentList!$A$1:$D$198,2,FALSE),0)</f>
        <v>0</v>
      </c>
      <c r="K116" s="26">
        <f>IFERROR(VLOOKUP(B116,RadCompList!$P$3:$Q$6,2,FALSE)*H116,0)</f>
        <v>0</v>
      </c>
      <c r="L116" s="26" t="str">
        <f t="shared" si="8"/>
        <v>3/4</v>
      </c>
      <c r="M116" s="37">
        <f>Main!$G$8-0.0001306*N116^2 * F116*(1+3.6/VLOOKUP(L116,Calculations!$B$4:$F$15,2,FALSE))/(3600*Main!$C$7*VLOOKUP(L116,Calculations!$B$4:$F$15,2,FALSE)^5)</f>
        <v>0.14820436411902377</v>
      </c>
      <c r="N116" s="37">
        <f t="shared" si="6"/>
        <v>0</v>
      </c>
      <c r="O116" s="37">
        <f>IF(H116&lt;32,SteamProperties!$F$24*Radiators!F116,IF(H116&lt;56,SteamProperties!$F$25*Radiators!F116,SteamProperties!$F$26*Radiators!F116))</f>
        <v>0</v>
      </c>
      <c r="P116" s="37">
        <f>IF(H116&lt;32,Calculations!$F$5*Radiators!F116,IF(H116&lt;56,Calculations!$F$6*Radiators!F116,Calculations!$F$7*Radiators!F116))</f>
        <v>0</v>
      </c>
      <c r="Q116" s="37">
        <f t="shared" si="7"/>
        <v>0</v>
      </c>
    </row>
    <row r="117" spans="2:17">
      <c r="B117" s="33"/>
      <c r="C117" s="34"/>
      <c r="D117" s="34"/>
      <c r="E117" s="34"/>
      <c r="F117" s="34"/>
      <c r="G117" s="34"/>
      <c r="H117" s="34">
        <f>IFERROR(IF(B117="Column",INDEX(RadCompList!$C$4:$G$13,MATCH(C117,RadCompList!$B$4:$B$13),MATCH(Radiators!D117,RadCompList!$C$3:$G$3)),IF(B117="Tube",INDEX(RadCompList!$C$16:$I$22,MATCH(C117,RadCompList!$B$16:$B$22),MATCH(Radiators!D117,RadCompList!$C$15:$I$15)),IF(B117="Cast Rad/Conv",INDEX(RadCompList!$C$28:$D$28,MATCH(C117,RadCompList!$B$28),MATCH(Radiators!D117,RadCompList!$C$27:$D$27)),IF(B117="Copper Cabinet",(INDEX(RadCompList!$E$39:$J$78,MATCH(Radiators!D117,RadCompList!$D$39:$D$78,0),MATCH(C117,RadCompList!$E$38:$J$38,0))),0))))*E117,0)*$A$2</f>
        <v>0</v>
      </c>
      <c r="I117" s="34">
        <f t="shared" si="5"/>
        <v>0</v>
      </c>
      <c r="J117" s="35">
        <f>IFERROR(VLOOKUP(G117,VentList!$A$1:$D$198,2,FALSE),0)</f>
        <v>0</v>
      </c>
      <c r="K117" s="26">
        <f>IFERROR(VLOOKUP(B117,RadCompList!$P$3:$Q$6,2,FALSE)*H117,0)</f>
        <v>0</v>
      </c>
      <c r="L117" s="26" t="str">
        <f t="shared" si="8"/>
        <v>3/4</v>
      </c>
      <c r="M117" s="37">
        <f>Main!$G$8-0.0001306*N117^2 * F117*(1+3.6/VLOOKUP(L117,Calculations!$B$4:$F$15,2,FALSE))/(3600*Main!$C$7*VLOOKUP(L117,Calculations!$B$4:$F$15,2,FALSE)^5)</f>
        <v>0.14820436411902377</v>
      </c>
      <c r="N117" s="37">
        <f t="shared" si="6"/>
        <v>0</v>
      </c>
      <c r="O117" s="37">
        <f>IF(H117&lt;32,SteamProperties!$F$24*Radiators!F117,IF(H117&lt;56,SteamProperties!$F$25*Radiators!F117,SteamProperties!$F$26*Radiators!F117))</f>
        <v>0</v>
      </c>
      <c r="P117" s="37">
        <f>IF(H117&lt;32,Calculations!$F$5*Radiators!F117,IF(H117&lt;56,Calculations!$F$6*Radiators!F117,Calculations!$F$7*Radiators!F117))</f>
        <v>0</v>
      </c>
      <c r="Q117" s="37">
        <f t="shared" si="7"/>
        <v>0</v>
      </c>
    </row>
    <row r="118" spans="2:17">
      <c r="B118" s="33"/>
      <c r="C118" s="34"/>
      <c r="D118" s="34"/>
      <c r="E118" s="34"/>
      <c r="F118" s="34"/>
      <c r="G118" s="34"/>
      <c r="H118" s="34">
        <f>IFERROR(IF(B118="Column",INDEX(RadCompList!$C$4:$G$13,MATCH(C118,RadCompList!$B$4:$B$13),MATCH(Radiators!D118,RadCompList!$C$3:$G$3)),IF(B118="Tube",INDEX(RadCompList!$C$16:$I$22,MATCH(C118,RadCompList!$B$16:$B$22),MATCH(Radiators!D118,RadCompList!$C$15:$I$15)),IF(B118="Cast Rad/Conv",INDEX(RadCompList!$C$28:$D$28,MATCH(C118,RadCompList!$B$28),MATCH(Radiators!D118,RadCompList!$C$27:$D$27)),IF(B118="Copper Cabinet",(INDEX(RadCompList!$E$39:$J$78,MATCH(Radiators!D118,RadCompList!$D$39:$D$78,0),MATCH(C118,RadCompList!$E$38:$J$38,0))),0))))*E118,0)*$A$2</f>
        <v>0</v>
      </c>
      <c r="I118" s="34">
        <f t="shared" si="5"/>
        <v>0</v>
      </c>
      <c r="J118" s="35">
        <f>IFERROR(VLOOKUP(G118,VentList!$A$1:$D$198,2,FALSE),0)</f>
        <v>0</v>
      </c>
      <c r="K118" s="26">
        <f>IFERROR(VLOOKUP(B118,RadCompList!$P$3:$Q$6,2,FALSE)*H118,0)</f>
        <v>0</v>
      </c>
      <c r="L118" s="26" t="str">
        <f t="shared" si="8"/>
        <v>3/4</v>
      </c>
      <c r="M118" s="37">
        <f>Main!$G$8-0.0001306*N118^2 * F118*(1+3.6/VLOOKUP(L118,Calculations!$B$4:$F$15,2,FALSE))/(3600*Main!$C$7*VLOOKUP(L118,Calculations!$B$4:$F$15,2,FALSE)^5)</f>
        <v>0.14820436411902377</v>
      </c>
      <c r="N118" s="37">
        <f t="shared" si="6"/>
        <v>0</v>
      </c>
      <c r="O118" s="37">
        <f>IF(H118&lt;32,SteamProperties!$F$24*Radiators!F118,IF(H118&lt;56,SteamProperties!$F$25*Radiators!F118,SteamProperties!$F$26*Radiators!F118))</f>
        <v>0</v>
      </c>
      <c r="P118" s="37">
        <f>IF(H118&lt;32,Calculations!$F$5*Radiators!F118,IF(H118&lt;56,Calculations!$F$6*Radiators!F118,Calculations!$F$7*Radiators!F118))</f>
        <v>0</v>
      </c>
      <c r="Q118" s="37">
        <f t="shared" si="7"/>
        <v>0</v>
      </c>
    </row>
    <row r="119" spans="2:17">
      <c r="B119" s="33"/>
      <c r="C119" s="34"/>
      <c r="D119" s="34"/>
      <c r="E119" s="34"/>
      <c r="F119" s="34"/>
      <c r="G119" s="34"/>
      <c r="H119" s="34">
        <f>IFERROR(IF(B119="Column",INDEX(RadCompList!$C$4:$G$13,MATCH(C119,RadCompList!$B$4:$B$13),MATCH(Radiators!D119,RadCompList!$C$3:$G$3)),IF(B119="Tube",INDEX(RadCompList!$C$16:$I$22,MATCH(C119,RadCompList!$B$16:$B$22),MATCH(Radiators!D119,RadCompList!$C$15:$I$15)),IF(B119="Cast Rad/Conv",INDEX(RadCompList!$C$28:$D$28,MATCH(C119,RadCompList!$B$28),MATCH(Radiators!D119,RadCompList!$C$27:$D$27)),IF(B119="Copper Cabinet",(INDEX(RadCompList!$E$39:$J$78,MATCH(Radiators!D119,RadCompList!$D$39:$D$78,0),MATCH(C119,RadCompList!$E$38:$J$38,0))),0))))*E119,0)*$A$2</f>
        <v>0</v>
      </c>
      <c r="I119" s="34">
        <f t="shared" si="5"/>
        <v>0</v>
      </c>
      <c r="J119" s="35">
        <f>IFERROR(VLOOKUP(G119,VentList!$A$1:$D$198,2,FALSE),0)</f>
        <v>0</v>
      </c>
      <c r="K119" s="26">
        <f>IFERROR(VLOOKUP(B119,RadCompList!$P$3:$Q$6,2,FALSE)*H119,0)</f>
        <v>0</v>
      </c>
      <c r="L119" s="26" t="str">
        <f t="shared" si="8"/>
        <v>3/4</v>
      </c>
      <c r="M119" s="37">
        <f>Main!$G$8-0.0001306*N119^2 * F119*(1+3.6/VLOOKUP(L119,Calculations!$B$4:$F$15,2,FALSE))/(3600*Main!$C$7*VLOOKUP(L119,Calculations!$B$4:$F$15,2,FALSE)^5)</f>
        <v>0.14820436411902377</v>
      </c>
      <c r="N119" s="37">
        <f t="shared" si="6"/>
        <v>0</v>
      </c>
      <c r="O119" s="37">
        <f>IF(H119&lt;32,SteamProperties!$F$24*Radiators!F119,IF(H119&lt;56,SteamProperties!$F$25*Radiators!F119,SteamProperties!$F$26*Radiators!F119))</f>
        <v>0</v>
      </c>
      <c r="P119" s="37">
        <f>IF(H119&lt;32,Calculations!$F$5*Radiators!F119,IF(H119&lt;56,Calculations!$F$6*Radiators!F119,Calculations!$F$7*Radiators!F119))</f>
        <v>0</v>
      </c>
      <c r="Q119" s="37">
        <f t="shared" si="7"/>
        <v>0</v>
      </c>
    </row>
    <row r="120" spans="2:17">
      <c r="B120" s="33"/>
      <c r="C120" s="34"/>
      <c r="D120" s="34"/>
      <c r="E120" s="34"/>
      <c r="F120" s="34"/>
      <c r="G120" s="34"/>
      <c r="H120" s="34">
        <f>IFERROR(IF(B120="Column",INDEX(RadCompList!$C$4:$G$13,MATCH(C120,RadCompList!$B$4:$B$13),MATCH(Radiators!D120,RadCompList!$C$3:$G$3)),IF(B120="Tube",INDEX(RadCompList!$C$16:$I$22,MATCH(C120,RadCompList!$B$16:$B$22),MATCH(Radiators!D120,RadCompList!$C$15:$I$15)),IF(B120="Cast Rad/Conv",INDEX(RadCompList!$C$28:$D$28,MATCH(C120,RadCompList!$B$28),MATCH(Radiators!D120,RadCompList!$C$27:$D$27)),IF(B120="Copper Cabinet",(INDEX(RadCompList!$E$39:$J$78,MATCH(Radiators!D120,RadCompList!$D$39:$D$78,0),MATCH(C120,RadCompList!$E$38:$J$38,0))),0))))*E120,0)*$A$2</f>
        <v>0</v>
      </c>
      <c r="I120" s="34">
        <f t="shared" si="5"/>
        <v>0</v>
      </c>
      <c r="J120" s="35">
        <f>IFERROR(VLOOKUP(G120,VentList!$A$1:$D$198,2,FALSE),0)</f>
        <v>0</v>
      </c>
      <c r="K120" s="26">
        <f>IFERROR(VLOOKUP(B120,RadCompList!$P$3:$Q$6,2,FALSE)*H120,0)</f>
        <v>0</v>
      </c>
      <c r="L120" s="26" t="str">
        <f t="shared" si="8"/>
        <v>3/4</v>
      </c>
      <c r="M120" s="37">
        <f>Main!$G$8-0.0001306*N120^2 * F120*(1+3.6/VLOOKUP(L120,Calculations!$B$4:$F$15,2,FALSE))/(3600*Main!$C$7*VLOOKUP(L120,Calculations!$B$4:$F$15,2,FALSE)^5)</f>
        <v>0.14820436411902377</v>
      </c>
      <c r="N120" s="37">
        <f t="shared" si="6"/>
        <v>0</v>
      </c>
      <c r="O120" s="37">
        <f>IF(H120&lt;32,SteamProperties!$F$24*Radiators!F120,IF(H120&lt;56,SteamProperties!$F$25*Radiators!F120,SteamProperties!$F$26*Radiators!F120))</f>
        <v>0</v>
      </c>
      <c r="P120" s="37">
        <f>IF(H120&lt;32,Calculations!$F$5*Radiators!F120,IF(H120&lt;56,Calculations!$F$6*Radiators!F120,Calculations!$F$7*Radiators!F120))</f>
        <v>0</v>
      </c>
      <c r="Q120" s="37">
        <f t="shared" si="7"/>
        <v>0</v>
      </c>
    </row>
    <row r="121" spans="2:17">
      <c r="B121" s="33"/>
      <c r="C121" s="34"/>
      <c r="D121" s="34"/>
      <c r="E121" s="34"/>
      <c r="F121" s="34"/>
      <c r="G121" s="34"/>
      <c r="H121" s="34">
        <f>IFERROR(IF(B121="Column",INDEX(RadCompList!$C$4:$G$13,MATCH(C121,RadCompList!$B$4:$B$13),MATCH(Radiators!D121,RadCompList!$C$3:$G$3)),IF(B121="Tube",INDEX(RadCompList!$C$16:$I$22,MATCH(C121,RadCompList!$B$16:$B$22),MATCH(Radiators!D121,RadCompList!$C$15:$I$15)),IF(B121="Cast Rad/Conv",INDEX(RadCompList!$C$28:$D$28,MATCH(C121,RadCompList!$B$28),MATCH(Radiators!D121,RadCompList!$C$27:$D$27)),IF(B121="Copper Cabinet",(INDEX(RadCompList!$E$39:$J$78,MATCH(Radiators!D121,RadCompList!$D$39:$D$78,0),MATCH(C121,RadCompList!$E$38:$J$38,0))),0))))*E121,0)*$A$2</f>
        <v>0</v>
      </c>
      <c r="I121" s="34">
        <f t="shared" si="5"/>
        <v>0</v>
      </c>
      <c r="J121" s="35">
        <f>IFERROR(VLOOKUP(G121,VentList!$A$1:$D$198,2,FALSE),0)</f>
        <v>0</v>
      </c>
      <c r="K121" s="26">
        <f>IFERROR(VLOOKUP(B121,RadCompList!$P$3:$Q$6,2,FALSE)*H121,0)</f>
        <v>0</v>
      </c>
      <c r="L121" s="26" t="str">
        <f t="shared" si="8"/>
        <v>3/4</v>
      </c>
      <c r="M121" s="37">
        <f>Main!$G$8-0.0001306*N121^2 * F121*(1+3.6/VLOOKUP(L121,Calculations!$B$4:$F$15,2,FALSE))/(3600*Main!$C$7*VLOOKUP(L121,Calculations!$B$4:$F$15,2,FALSE)^5)</f>
        <v>0.14820436411902377</v>
      </c>
      <c r="N121" s="37">
        <f t="shared" si="6"/>
        <v>0</v>
      </c>
      <c r="O121" s="37">
        <f>IF(H121&lt;32,SteamProperties!$F$24*Radiators!F121,IF(H121&lt;56,SteamProperties!$F$25*Radiators!F121,SteamProperties!$F$26*Radiators!F121))</f>
        <v>0</v>
      </c>
      <c r="P121" s="37">
        <f>IF(H121&lt;32,Calculations!$F$5*Radiators!F121,IF(H121&lt;56,Calculations!$F$6*Radiators!F121,Calculations!$F$7*Radiators!F121))</f>
        <v>0</v>
      </c>
      <c r="Q121" s="37">
        <f t="shared" si="7"/>
        <v>0</v>
      </c>
    </row>
    <row r="122" spans="2:17">
      <c r="B122" s="33"/>
      <c r="C122" s="34"/>
      <c r="D122" s="34"/>
      <c r="E122" s="34"/>
      <c r="F122" s="34"/>
      <c r="G122" s="34"/>
      <c r="H122" s="34">
        <f>IFERROR(IF(B122="Column",INDEX(RadCompList!$C$4:$G$13,MATCH(C122,RadCompList!$B$4:$B$13),MATCH(Radiators!D122,RadCompList!$C$3:$G$3)),IF(B122="Tube",INDEX(RadCompList!$C$16:$I$22,MATCH(C122,RadCompList!$B$16:$B$22),MATCH(Radiators!D122,RadCompList!$C$15:$I$15)),IF(B122="Cast Rad/Conv",INDEX(RadCompList!$C$28:$D$28,MATCH(C122,RadCompList!$B$28),MATCH(Radiators!D122,RadCompList!$C$27:$D$27)),IF(B122="Copper Cabinet",(INDEX(RadCompList!$E$39:$J$78,MATCH(Radiators!D122,RadCompList!$D$39:$D$78,0),MATCH(C122,RadCompList!$E$38:$J$38,0))),0))))*E122,0)*$A$2</f>
        <v>0</v>
      </c>
      <c r="I122" s="34">
        <f t="shared" si="5"/>
        <v>0</v>
      </c>
      <c r="J122" s="35">
        <f>IFERROR(VLOOKUP(G122,VentList!$A$1:$D$198,2,FALSE),0)</f>
        <v>0</v>
      </c>
      <c r="K122" s="26">
        <f>IFERROR(VLOOKUP(B122,RadCompList!$P$3:$Q$6,2,FALSE)*H122,0)</f>
        <v>0</v>
      </c>
      <c r="L122" s="26" t="str">
        <f t="shared" si="8"/>
        <v>3/4</v>
      </c>
      <c r="M122" s="37">
        <f>Main!$G$8-0.0001306*N122^2 * F122*(1+3.6/VLOOKUP(L122,Calculations!$B$4:$F$15,2,FALSE))/(3600*Main!$C$7*VLOOKUP(L122,Calculations!$B$4:$F$15,2,FALSE)^5)</f>
        <v>0.14820436411902377</v>
      </c>
      <c r="N122" s="37">
        <f t="shared" si="6"/>
        <v>0</v>
      </c>
      <c r="O122" s="37">
        <f>IF(H122&lt;32,SteamProperties!$F$24*Radiators!F122,IF(H122&lt;56,SteamProperties!$F$25*Radiators!F122,SteamProperties!$F$26*Radiators!F122))</f>
        <v>0</v>
      </c>
      <c r="P122" s="37">
        <f>IF(H122&lt;32,Calculations!$F$5*Radiators!F122,IF(H122&lt;56,Calculations!$F$6*Radiators!F122,Calculations!$F$7*Radiators!F122))</f>
        <v>0</v>
      </c>
      <c r="Q122" s="37">
        <f t="shared" si="7"/>
        <v>0</v>
      </c>
    </row>
    <row r="123" spans="2:17">
      <c r="B123" s="33"/>
      <c r="C123" s="34"/>
      <c r="D123" s="34"/>
      <c r="E123" s="34"/>
      <c r="F123" s="34"/>
      <c r="G123" s="34"/>
      <c r="H123" s="34">
        <f>IFERROR(IF(B123="Column",INDEX(RadCompList!$C$4:$G$13,MATCH(C123,RadCompList!$B$4:$B$13),MATCH(Radiators!D123,RadCompList!$C$3:$G$3)),IF(B123="Tube",INDEX(RadCompList!$C$16:$I$22,MATCH(C123,RadCompList!$B$16:$B$22),MATCH(Radiators!D123,RadCompList!$C$15:$I$15)),IF(B123="Cast Rad/Conv",INDEX(RadCompList!$C$28:$D$28,MATCH(C123,RadCompList!$B$28),MATCH(Radiators!D123,RadCompList!$C$27:$D$27)),IF(B123="Copper Cabinet",(INDEX(RadCompList!$E$39:$J$78,MATCH(Radiators!D123,RadCompList!$D$39:$D$78,0),MATCH(C123,RadCompList!$E$38:$J$38,0))),0))))*E123,0)*$A$2</f>
        <v>0</v>
      </c>
      <c r="I123" s="34">
        <f t="shared" si="5"/>
        <v>0</v>
      </c>
      <c r="J123" s="35">
        <f>IFERROR(VLOOKUP(G123,VentList!$A$1:$D$198,2,FALSE),0)</f>
        <v>0</v>
      </c>
      <c r="K123" s="26">
        <f>IFERROR(VLOOKUP(B123,RadCompList!$P$3:$Q$6,2,FALSE)*H123,0)</f>
        <v>0</v>
      </c>
      <c r="L123" s="26" t="str">
        <f t="shared" si="8"/>
        <v>3/4</v>
      </c>
      <c r="M123" s="37">
        <f>Main!$G$8-0.0001306*N123^2 * F123*(1+3.6/VLOOKUP(L123,Calculations!$B$4:$F$15,2,FALSE))/(3600*Main!$C$7*VLOOKUP(L123,Calculations!$B$4:$F$15,2,FALSE)^5)</f>
        <v>0.14820436411902377</v>
      </c>
      <c r="N123" s="37">
        <f t="shared" si="6"/>
        <v>0</v>
      </c>
      <c r="O123" s="37">
        <f>IF(H123&lt;32,SteamProperties!$F$24*Radiators!F123,IF(H123&lt;56,SteamProperties!$F$25*Radiators!F123,SteamProperties!$F$26*Radiators!F123))</f>
        <v>0</v>
      </c>
      <c r="P123" s="37">
        <f>IF(H123&lt;32,Calculations!$F$5*Radiators!F123,IF(H123&lt;56,Calculations!$F$6*Radiators!F123,Calculations!$F$7*Radiators!F123))</f>
        <v>0</v>
      </c>
      <c r="Q123" s="37">
        <f t="shared" si="7"/>
        <v>0</v>
      </c>
    </row>
    <row r="124" spans="2:17">
      <c r="B124" s="33"/>
      <c r="C124" s="34"/>
      <c r="D124" s="34"/>
      <c r="E124" s="34"/>
      <c r="F124" s="34"/>
      <c r="G124" s="34"/>
      <c r="H124" s="34">
        <f>IFERROR(IF(B124="Column",INDEX(RadCompList!$C$4:$G$13,MATCH(C124,RadCompList!$B$4:$B$13),MATCH(Radiators!D124,RadCompList!$C$3:$G$3)),IF(B124="Tube",INDEX(RadCompList!$C$16:$I$22,MATCH(C124,RadCompList!$B$16:$B$22),MATCH(Radiators!D124,RadCompList!$C$15:$I$15)),IF(B124="Cast Rad/Conv",INDEX(RadCompList!$C$28:$D$28,MATCH(C124,RadCompList!$B$28),MATCH(Radiators!D124,RadCompList!$C$27:$D$27)),IF(B124="Copper Cabinet",(INDEX(RadCompList!$E$39:$J$78,MATCH(Radiators!D124,RadCompList!$D$39:$D$78,0),MATCH(C124,RadCompList!$E$38:$J$38,0))),0))))*E124,0)*$A$2</f>
        <v>0</v>
      </c>
      <c r="I124" s="34">
        <f t="shared" si="5"/>
        <v>0</v>
      </c>
      <c r="J124" s="35">
        <f>IFERROR(VLOOKUP(G124,VentList!$A$1:$D$198,2,FALSE),0)</f>
        <v>0</v>
      </c>
      <c r="K124" s="26">
        <f>IFERROR(VLOOKUP(B124,RadCompList!$P$3:$Q$6,2,FALSE)*H124,0)</f>
        <v>0</v>
      </c>
      <c r="L124" s="26" t="str">
        <f t="shared" si="8"/>
        <v>3/4</v>
      </c>
      <c r="M124" s="37">
        <f>Main!$G$8-0.0001306*N124^2 * F124*(1+3.6/VLOOKUP(L124,Calculations!$B$4:$F$15,2,FALSE))/(3600*Main!$C$7*VLOOKUP(L124,Calculations!$B$4:$F$15,2,FALSE)^5)</f>
        <v>0.14820436411902377</v>
      </c>
      <c r="N124" s="37">
        <f t="shared" si="6"/>
        <v>0</v>
      </c>
      <c r="O124" s="37">
        <f>IF(H124&lt;32,SteamProperties!$F$24*Radiators!F124,IF(H124&lt;56,SteamProperties!$F$25*Radiators!F124,SteamProperties!$F$26*Radiators!F124))</f>
        <v>0</v>
      </c>
      <c r="P124" s="37">
        <f>IF(H124&lt;32,Calculations!$F$5*Radiators!F124,IF(H124&lt;56,Calculations!$F$6*Radiators!F124,Calculations!$F$7*Radiators!F124))</f>
        <v>0</v>
      </c>
      <c r="Q124" s="37">
        <f t="shared" si="7"/>
        <v>0</v>
      </c>
    </row>
    <row r="125" spans="2:17">
      <c r="B125" s="33"/>
      <c r="C125" s="34"/>
      <c r="D125" s="34"/>
      <c r="E125" s="34"/>
      <c r="F125" s="34"/>
      <c r="G125" s="34"/>
      <c r="H125" s="34">
        <f>IFERROR(IF(B125="Column",INDEX(RadCompList!$C$4:$G$13,MATCH(C125,RadCompList!$B$4:$B$13),MATCH(Radiators!D125,RadCompList!$C$3:$G$3)),IF(B125="Tube",INDEX(RadCompList!$C$16:$I$22,MATCH(C125,RadCompList!$B$16:$B$22),MATCH(Radiators!D125,RadCompList!$C$15:$I$15)),IF(B125="Cast Rad/Conv",INDEX(RadCompList!$C$28:$D$28,MATCH(C125,RadCompList!$B$28),MATCH(Radiators!D125,RadCompList!$C$27:$D$27)),IF(B125="Copper Cabinet",(INDEX(RadCompList!$E$39:$J$78,MATCH(Radiators!D125,RadCompList!$D$39:$D$78,0),MATCH(C125,RadCompList!$E$38:$J$38,0))),0))))*E125,0)*$A$2</f>
        <v>0</v>
      </c>
      <c r="I125" s="34">
        <f t="shared" si="5"/>
        <v>0</v>
      </c>
      <c r="J125" s="35">
        <f>IFERROR(VLOOKUP(G125,VentList!$A$1:$D$198,2,FALSE),0)</f>
        <v>0</v>
      </c>
      <c r="K125" s="26">
        <f>IFERROR(VLOOKUP(B125,RadCompList!$P$3:$Q$6,2,FALSE)*H125,0)</f>
        <v>0</v>
      </c>
      <c r="L125" s="26" t="str">
        <f t="shared" si="8"/>
        <v>3/4</v>
      </c>
      <c r="M125" s="37">
        <f>Main!$G$8-0.0001306*N125^2 * F125*(1+3.6/VLOOKUP(L125,Calculations!$B$4:$F$15,2,FALSE))/(3600*Main!$C$7*VLOOKUP(L125,Calculations!$B$4:$F$15,2,FALSE)^5)</f>
        <v>0.14820436411902377</v>
      </c>
      <c r="N125" s="37">
        <f t="shared" si="6"/>
        <v>0</v>
      </c>
      <c r="O125" s="37">
        <f>IF(H125&lt;32,SteamProperties!$F$24*Radiators!F125,IF(H125&lt;56,SteamProperties!$F$25*Radiators!F125,SteamProperties!$F$26*Radiators!F125))</f>
        <v>0</v>
      </c>
      <c r="P125" s="37">
        <f>IF(H125&lt;32,Calculations!$F$5*Radiators!F125,IF(H125&lt;56,Calculations!$F$6*Radiators!F125,Calculations!$F$7*Radiators!F125))</f>
        <v>0</v>
      </c>
      <c r="Q125" s="37">
        <f t="shared" si="7"/>
        <v>0</v>
      </c>
    </row>
    <row r="126" spans="2:17">
      <c r="B126" s="33"/>
      <c r="C126" s="34"/>
      <c r="D126" s="34"/>
      <c r="E126" s="34"/>
      <c r="F126" s="34"/>
      <c r="G126" s="34"/>
      <c r="H126" s="34">
        <f>IFERROR(IF(B126="Column",INDEX(RadCompList!$C$4:$G$13,MATCH(C126,RadCompList!$B$4:$B$13),MATCH(Radiators!D126,RadCompList!$C$3:$G$3)),IF(B126="Tube",INDEX(RadCompList!$C$16:$I$22,MATCH(C126,RadCompList!$B$16:$B$22),MATCH(Radiators!D126,RadCompList!$C$15:$I$15)),IF(B126="Cast Rad/Conv",INDEX(RadCompList!$C$28:$D$28,MATCH(C126,RadCompList!$B$28),MATCH(Radiators!D126,RadCompList!$C$27:$D$27)),IF(B126="Copper Cabinet",(INDEX(RadCompList!$E$39:$J$78,MATCH(Radiators!D126,RadCompList!$D$39:$D$78,0),MATCH(C126,RadCompList!$E$38:$J$38,0))),0))))*E126,0)*$A$2</f>
        <v>0</v>
      </c>
      <c r="I126" s="34">
        <f t="shared" si="5"/>
        <v>0</v>
      </c>
      <c r="J126" s="35">
        <f>IFERROR(VLOOKUP(G126,VentList!$A$1:$D$198,2,FALSE),0)</f>
        <v>0</v>
      </c>
      <c r="K126" s="26">
        <f>IFERROR(VLOOKUP(B126,RadCompList!$P$3:$Q$6,2,FALSE)*H126,0)</f>
        <v>0</v>
      </c>
      <c r="L126" s="26" t="str">
        <f t="shared" si="8"/>
        <v>3/4</v>
      </c>
      <c r="M126" s="37">
        <f>Main!$G$8-0.0001306*N126^2 * F126*(1+3.6/VLOOKUP(L126,Calculations!$B$4:$F$15,2,FALSE))/(3600*Main!$C$7*VLOOKUP(L126,Calculations!$B$4:$F$15,2,FALSE)^5)</f>
        <v>0.14820436411902377</v>
      </c>
      <c r="N126" s="37">
        <f t="shared" si="6"/>
        <v>0</v>
      </c>
      <c r="O126" s="37">
        <f>IF(H126&lt;32,SteamProperties!$F$24*Radiators!F126,IF(H126&lt;56,SteamProperties!$F$25*Radiators!F126,SteamProperties!$F$26*Radiators!F126))</f>
        <v>0</v>
      </c>
      <c r="P126" s="37">
        <f>IF(H126&lt;32,Calculations!$F$5*Radiators!F126,IF(H126&lt;56,Calculations!$F$6*Radiators!F126,Calculations!$F$7*Radiators!F126))</f>
        <v>0</v>
      </c>
      <c r="Q126" s="37">
        <f t="shared" si="7"/>
        <v>0</v>
      </c>
    </row>
    <row r="127" spans="2:17">
      <c r="B127" s="33"/>
      <c r="C127" s="34"/>
      <c r="D127" s="34"/>
      <c r="E127" s="34"/>
      <c r="F127" s="34"/>
      <c r="G127" s="34"/>
      <c r="H127" s="34">
        <f>IFERROR(IF(B127="Column",INDEX(RadCompList!$C$4:$G$13,MATCH(C127,RadCompList!$B$4:$B$13),MATCH(Radiators!D127,RadCompList!$C$3:$G$3)),IF(B127="Tube",INDEX(RadCompList!$C$16:$I$22,MATCH(C127,RadCompList!$B$16:$B$22),MATCH(Radiators!D127,RadCompList!$C$15:$I$15)),IF(B127="Cast Rad/Conv",INDEX(RadCompList!$C$28:$D$28,MATCH(C127,RadCompList!$B$28),MATCH(Radiators!D127,RadCompList!$C$27:$D$27)),IF(B127="Copper Cabinet",(INDEX(RadCompList!$E$39:$J$78,MATCH(Radiators!D127,RadCompList!$D$39:$D$78,0),MATCH(C127,RadCompList!$E$38:$J$38,0))),0))))*E127,0)*$A$2</f>
        <v>0</v>
      </c>
      <c r="I127" s="34">
        <f t="shared" si="5"/>
        <v>0</v>
      </c>
      <c r="J127" s="35">
        <f>IFERROR(VLOOKUP(G127,VentList!$A$1:$D$198,2,FALSE),0)</f>
        <v>0</v>
      </c>
      <c r="K127" s="26">
        <f>IFERROR(VLOOKUP(B127,RadCompList!$P$3:$Q$6,2,FALSE)*H127,0)</f>
        <v>0</v>
      </c>
      <c r="L127" s="26" t="str">
        <f t="shared" si="8"/>
        <v>3/4</v>
      </c>
      <c r="M127" s="37">
        <f>Main!$G$8-0.0001306*N127^2 * F127*(1+3.6/VLOOKUP(L127,Calculations!$B$4:$F$15,2,FALSE))/(3600*Main!$C$7*VLOOKUP(L127,Calculations!$B$4:$F$15,2,FALSE)^5)</f>
        <v>0.14820436411902377</v>
      </c>
      <c r="N127" s="37">
        <f t="shared" si="6"/>
        <v>0</v>
      </c>
      <c r="O127" s="37">
        <f>IF(H127&lt;32,SteamProperties!$F$24*Radiators!F127,IF(H127&lt;56,SteamProperties!$F$25*Radiators!F127,SteamProperties!$F$26*Radiators!F127))</f>
        <v>0</v>
      </c>
      <c r="P127" s="37">
        <f>IF(H127&lt;32,Calculations!$F$5*Radiators!F127,IF(H127&lt;56,Calculations!$F$6*Radiators!F127,Calculations!$F$7*Radiators!F127))</f>
        <v>0</v>
      </c>
      <c r="Q127" s="37">
        <f t="shared" si="7"/>
        <v>0</v>
      </c>
    </row>
    <row r="128" spans="2:17">
      <c r="B128" s="33"/>
      <c r="C128" s="34"/>
      <c r="D128" s="34"/>
      <c r="E128" s="34"/>
      <c r="F128" s="34"/>
      <c r="G128" s="34"/>
      <c r="H128" s="34">
        <f>IFERROR(IF(B128="Column",INDEX(RadCompList!$C$4:$G$13,MATCH(C128,RadCompList!$B$4:$B$13),MATCH(Radiators!D128,RadCompList!$C$3:$G$3)),IF(B128="Tube",INDEX(RadCompList!$C$16:$I$22,MATCH(C128,RadCompList!$B$16:$B$22),MATCH(Radiators!D128,RadCompList!$C$15:$I$15)),IF(B128="Cast Rad/Conv",INDEX(RadCompList!$C$28:$D$28,MATCH(C128,RadCompList!$B$28),MATCH(Radiators!D128,RadCompList!$C$27:$D$27)),IF(B128="Copper Cabinet",(INDEX(RadCompList!$E$39:$J$78,MATCH(Radiators!D128,RadCompList!$D$39:$D$78,0),MATCH(C128,RadCompList!$E$38:$J$38,0))),0))))*E128,0)*$A$2</f>
        <v>0</v>
      </c>
      <c r="I128" s="34">
        <f t="shared" si="5"/>
        <v>0</v>
      </c>
      <c r="J128" s="35">
        <f>IFERROR(VLOOKUP(G128,VentList!$A$1:$D$198,2,FALSE),0)</f>
        <v>0</v>
      </c>
      <c r="K128" s="26">
        <f>IFERROR(VLOOKUP(B128,RadCompList!$P$3:$Q$6,2,FALSE)*H128,0)</f>
        <v>0</v>
      </c>
      <c r="L128" s="26" t="str">
        <f t="shared" si="8"/>
        <v>3/4</v>
      </c>
      <c r="M128" s="37">
        <f>Main!$G$8-0.0001306*N128^2 * F128*(1+3.6/VLOOKUP(L128,Calculations!$B$4:$F$15,2,FALSE))/(3600*Main!$C$7*VLOOKUP(L128,Calculations!$B$4:$F$15,2,FALSE)^5)</f>
        <v>0.14820436411902377</v>
      </c>
      <c r="N128" s="37">
        <f t="shared" si="6"/>
        <v>0</v>
      </c>
      <c r="O128" s="37">
        <f>IF(H128&lt;32,SteamProperties!$F$24*Radiators!F128,IF(H128&lt;56,SteamProperties!$F$25*Radiators!F128,SteamProperties!$F$26*Radiators!F128))</f>
        <v>0</v>
      </c>
      <c r="P128" s="37">
        <f>IF(H128&lt;32,Calculations!$F$5*Radiators!F128,IF(H128&lt;56,Calculations!$F$6*Radiators!F128,Calculations!$F$7*Radiators!F128))</f>
        <v>0</v>
      </c>
      <c r="Q128" s="37">
        <f t="shared" si="7"/>
        <v>0</v>
      </c>
    </row>
    <row r="129" spans="2:17">
      <c r="B129" s="33"/>
      <c r="C129" s="34"/>
      <c r="D129" s="34"/>
      <c r="E129" s="34"/>
      <c r="F129" s="34"/>
      <c r="G129" s="34"/>
      <c r="H129" s="34">
        <f>IFERROR(IF(B129="Column",INDEX(RadCompList!$C$4:$G$13,MATCH(C129,RadCompList!$B$4:$B$13),MATCH(Radiators!D129,RadCompList!$C$3:$G$3)),IF(B129="Tube",INDEX(RadCompList!$C$16:$I$22,MATCH(C129,RadCompList!$B$16:$B$22),MATCH(Radiators!D129,RadCompList!$C$15:$I$15)),IF(B129="Cast Rad/Conv",INDEX(RadCompList!$C$28:$D$28,MATCH(C129,RadCompList!$B$28),MATCH(Radiators!D129,RadCompList!$C$27:$D$27)),IF(B129="Copper Cabinet",(INDEX(RadCompList!$E$39:$J$78,MATCH(Radiators!D129,RadCompList!$D$39:$D$78,0),MATCH(C129,RadCompList!$E$38:$J$38,0))),0))))*E129,0)*$A$2</f>
        <v>0</v>
      </c>
      <c r="I129" s="34">
        <f t="shared" si="5"/>
        <v>0</v>
      </c>
      <c r="J129" s="35">
        <f>IFERROR(VLOOKUP(G129,VentList!$A$1:$D$198,2,FALSE),0)</f>
        <v>0</v>
      </c>
      <c r="K129" s="26">
        <f>IFERROR(VLOOKUP(B129,RadCompList!$P$3:$Q$6,2,FALSE)*H129,0)</f>
        <v>0</v>
      </c>
      <c r="L129" s="26" t="str">
        <f t="shared" si="8"/>
        <v>3/4</v>
      </c>
      <c r="M129" s="37">
        <f>Main!$G$8-0.0001306*N129^2 * F129*(1+3.6/VLOOKUP(L129,Calculations!$B$4:$F$15,2,FALSE))/(3600*Main!$C$7*VLOOKUP(L129,Calculations!$B$4:$F$15,2,FALSE)^5)</f>
        <v>0.14820436411902377</v>
      </c>
      <c r="N129" s="37">
        <f t="shared" si="6"/>
        <v>0</v>
      </c>
      <c r="O129" s="37">
        <f>IF(H129&lt;32,SteamProperties!$F$24*Radiators!F129,IF(H129&lt;56,SteamProperties!$F$25*Radiators!F129,SteamProperties!$F$26*Radiators!F129))</f>
        <v>0</v>
      </c>
      <c r="P129" s="37">
        <f>IF(H129&lt;32,Calculations!$F$5*Radiators!F129,IF(H129&lt;56,Calculations!$F$6*Radiators!F129,Calculations!$F$7*Radiators!F129))</f>
        <v>0</v>
      </c>
      <c r="Q129" s="37">
        <f t="shared" si="7"/>
        <v>0</v>
      </c>
    </row>
    <row r="130" spans="2:17">
      <c r="B130" s="33"/>
      <c r="C130" s="34"/>
      <c r="D130" s="34"/>
      <c r="E130" s="34"/>
      <c r="F130" s="34"/>
      <c r="G130" s="34"/>
      <c r="H130" s="34">
        <f>IFERROR(IF(B130="Column",INDEX(RadCompList!$C$4:$G$13,MATCH(C130,RadCompList!$B$4:$B$13),MATCH(Radiators!D130,RadCompList!$C$3:$G$3)),IF(B130="Tube",INDEX(RadCompList!$C$16:$I$22,MATCH(C130,RadCompList!$B$16:$B$22),MATCH(Radiators!D130,RadCompList!$C$15:$I$15)),IF(B130="Cast Rad/Conv",INDEX(RadCompList!$C$28:$D$28,MATCH(C130,RadCompList!$B$28),MATCH(Radiators!D130,RadCompList!$C$27:$D$27)),IF(B130="Copper Cabinet",(INDEX(RadCompList!$E$39:$J$78,MATCH(Radiators!D130,RadCompList!$D$39:$D$78,0),MATCH(C130,RadCompList!$E$38:$J$38,0))),0))))*E130,0)*$A$2</f>
        <v>0</v>
      </c>
      <c r="I130" s="34">
        <f t="shared" si="5"/>
        <v>0</v>
      </c>
      <c r="J130" s="35">
        <f>IFERROR(VLOOKUP(G130,VentList!$A$1:$D$198,2,FALSE),0)</f>
        <v>0</v>
      </c>
      <c r="K130" s="26">
        <f>IFERROR(VLOOKUP(B130,RadCompList!$P$3:$Q$6,2,FALSE)*H130,0)</f>
        <v>0</v>
      </c>
      <c r="L130" s="26" t="str">
        <f t="shared" si="8"/>
        <v>3/4</v>
      </c>
      <c r="M130" s="37">
        <f>Main!$G$8-0.0001306*N130^2 * F130*(1+3.6/VLOOKUP(L130,Calculations!$B$4:$F$15,2,FALSE))/(3600*Main!$C$7*VLOOKUP(L130,Calculations!$B$4:$F$15,2,FALSE)^5)</f>
        <v>0.14820436411902377</v>
      </c>
      <c r="N130" s="37">
        <f t="shared" si="6"/>
        <v>0</v>
      </c>
      <c r="O130" s="37">
        <f>IF(H130&lt;32,SteamProperties!$F$24*Radiators!F130,IF(H130&lt;56,SteamProperties!$F$25*Radiators!F130,SteamProperties!$F$26*Radiators!F130))</f>
        <v>0</v>
      </c>
      <c r="P130" s="37">
        <f>IF(H130&lt;32,Calculations!$F$5*Radiators!F130,IF(H130&lt;56,Calculations!$F$6*Radiators!F130,Calculations!$F$7*Radiators!F130))</f>
        <v>0</v>
      </c>
      <c r="Q130" s="37">
        <f t="shared" si="7"/>
        <v>0</v>
      </c>
    </row>
    <row r="131" spans="2:17">
      <c r="B131" s="33"/>
      <c r="C131" s="34"/>
      <c r="D131" s="34"/>
      <c r="E131" s="34"/>
      <c r="F131" s="34"/>
      <c r="G131" s="34"/>
      <c r="H131" s="34">
        <f>IFERROR(IF(B131="Column",INDEX(RadCompList!$C$4:$G$13,MATCH(C131,RadCompList!$B$4:$B$13),MATCH(Radiators!D131,RadCompList!$C$3:$G$3)),IF(B131="Tube",INDEX(RadCompList!$C$16:$I$22,MATCH(C131,RadCompList!$B$16:$B$22),MATCH(Radiators!D131,RadCompList!$C$15:$I$15)),IF(B131="Cast Rad/Conv",INDEX(RadCompList!$C$28:$D$28,MATCH(C131,RadCompList!$B$28),MATCH(Radiators!D131,RadCompList!$C$27:$D$27)),IF(B131="Copper Cabinet",(INDEX(RadCompList!$E$39:$J$78,MATCH(Radiators!D131,RadCompList!$D$39:$D$78,0),MATCH(C131,RadCompList!$E$38:$J$38,0))),0))))*E131,0)*$A$2</f>
        <v>0</v>
      </c>
      <c r="I131" s="34">
        <f t="shared" ref="I131:I194" si="9">IFERROR(240*H131,0)*$A$2</f>
        <v>0</v>
      </c>
      <c r="J131" s="35">
        <f>IFERROR(VLOOKUP(G131,VentList!$A$1:$D$198,2,FALSE),0)</f>
        <v>0</v>
      </c>
      <c r="K131" s="26">
        <f>IFERROR(VLOOKUP(B131,RadCompList!$P$3:$Q$6,2,FALSE)*H131,0)</f>
        <v>0</v>
      </c>
      <c r="L131" s="26" t="str">
        <f t="shared" si="8"/>
        <v>3/4</v>
      </c>
      <c r="M131" s="37">
        <f>Main!$G$8-0.0001306*N131^2 * F131*(1+3.6/VLOOKUP(L131,Calculations!$B$4:$F$15,2,FALSE))/(3600*Main!$C$7*VLOOKUP(L131,Calculations!$B$4:$F$15,2,FALSE)^5)</f>
        <v>0.14820436411902377</v>
      </c>
      <c r="N131" s="37">
        <f t="shared" ref="N131:N194" si="10">I131/(970+27)</f>
        <v>0</v>
      </c>
      <c r="O131" s="37">
        <f>IF(H131&lt;32,SteamProperties!$F$24*Radiators!F131,IF(H131&lt;56,SteamProperties!$F$25*Radiators!F131,SteamProperties!$F$26*Radiators!F131))</f>
        <v>0</v>
      </c>
      <c r="P131" s="37">
        <f>IF(H131&lt;32,Calculations!$F$5*Radiators!F131,IF(H131&lt;56,Calculations!$F$6*Radiators!F131,Calculations!$F$7*Radiators!F131))</f>
        <v>0</v>
      </c>
      <c r="Q131" s="37">
        <f t="shared" ref="Q131:Q194" si="11">I131/(970)</f>
        <v>0</v>
      </c>
    </row>
    <row r="132" spans="2:17">
      <c r="B132" s="33"/>
      <c r="C132" s="34"/>
      <c r="D132" s="34"/>
      <c r="E132" s="34"/>
      <c r="F132" s="34"/>
      <c r="G132" s="34"/>
      <c r="H132" s="34">
        <f>IFERROR(IF(B132="Column",INDEX(RadCompList!$C$4:$G$13,MATCH(C132,RadCompList!$B$4:$B$13),MATCH(Radiators!D132,RadCompList!$C$3:$G$3)),IF(B132="Tube",INDEX(RadCompList!$C$16:$I$22,MATCH(C132,RadCompList!$B$16:$B$22),MATCH(Radiators!D132,RadCompList!$C$15:$I$15)),IF(B132="Cast Rad/Conv",INDEX(RadCompList!$C$28:$D$28,MATCH(C132,RadCompList!$B$28),MATCH(Radiators!D132,RadCompList!$C$27:$D$27)),IF(B132="Copper Cabinet",(INDEX(RadCompList!$E$39:$J$78,MATCH(Radiators!D132,RadCompList!$D$39:$D$78,0),MATCH(C132,RadCompList!$E$38:$J$38,0))),0))))*E132,0)*$A$2</f>
        <v>0</v>
      </c>
      <c r="I132" s="34">
        <f t="shared" si="9"/>
        <v>0</v>
      </c>
      <c r="J132" s="35">
        <f>IFERROR(VLOOKUP(G132,VentList!$A$1:$D$198,2,FALSE),0)</f>
        <v>0</v>
      </c>
      <c r="K132" s="26">
        <f>IFERROR(VLOOKUP(B132,RadCompList!$P$3:$Q$6,2,FALSE)*H132,0)</f>
        <v>0</v>
      </c>
      <c r="L132" s="26" t="str">
        <f t="shared" si="8"/>
        <v>3/4</v>
      </c>
      <c r="M132" s="37">
        <f>Main!$G$8-0.0001306*N132^2 * F132*(1+3.6/VLOOKUP(L132,Calculations!$B$4:$F$15,2,FALSE))/(3600*Main!$C$7*VLOOKUP(L132,Calculations!$B$4:$F$15,2,FALSE)^5)</f>
        <v>0.14820436411902377</v>
      </c>
      <c r="N132" s="37">
        <f t="shared" si="10"/>
        <v>0</v>
      </c>
      <c r="O132" s="37">
        <f>IF(H132&lt;32,SteamProperties!$F$24*Radiators!F132,IF(H132&lt;56,SteamProperties!$F$25*Radiators!F132,SteamProperties!$F$26*Radiators!F132))</f>
        <v>0</v>
      </c>
      <c r="P132" s="37">
        <f>IF(H132&lt;32,Calculations!$F$5*Radiators!F132,IF(H132&lt;56,Calculations!$F$6*Radiators!F132,Calculations!$F$7*Radiators!F132))</f>
        <v>0</v>
      </c>
      <c r="Q132" s="37">
        <f t="shared" si="11"/>
        <v>0</v>
      </c>
    </row>
    <row r="133" spans="2:17">
      <c r="B133" s="33"/>
      <c r="C133" s="34"/>
      <c r="D133" s="34"/>
      <c r="E133" s="34"/>
      <c r="F133" s="34"/>
      <c r="G133" s="34"/>
      <c r="H133" s="34">
        <f>IFERROR(IF(B133="Column",INDEX(RadCompList!$C$4:$G$13,MATCH(C133,RadCompList!$B$4:$B$13),MATCH(Radiators!D133,RadCompList!$C$3:$G$3)),IF(B133="Tube",INDEX(RadCompList!$C$16:$I$22,MATCH(C133,RadCompList!$B$16:$B$22),MATCH(Radiators!D133,RadCompList!$C$15:$I$15)),IF(B133="Cast Rad/Conv",INDEX(RadCompList!$C$28:$D$28,MATCH(C133,RadCompList!$B$28),MATCH(Radiators!D133,RadCompList!$C$27:$D$27)),IF(B133="Copper Cabinet",(INDEX(RadCompList!$E$39:$J$78,MATCH(Radiators!D133,RadCompList!$D$39:$D$78,0),MATCH(C133,RadCompList!$E$38:$J$38,0))),0))))*E133,0)*$A$2</f>
        <v>0</v>
      </c>
      <c r="I133" s="34">
        <f t="shared" si="9"/>
        <v>0</v>
      </c>
      <c r="J133" s="35">
        <f>IFERROR(VLOOKUP(G133,VentList!$A$1:$D$198,2,FALSE),0)</f>
        <v>0</v>
      </c>
      <c r="K133" s="26">
        <f>IFERROR(VLOOKUP(B133,RadCompList!$P$3:$Q$6,2,FALSE)*H133,0)</f>
        <v>0</v>
      </c>
      <c r="L133" s="26" t="str">
        <f t="shared" si="8"/>
        <v>3/4</v>
      </c>
      <c r="M133" s="37">
        <f>Main!$G$8-0.0001306*N133^2 * F133*(1+3.6/VLOOKUP(L133,Calculations!$B$4:$F$15,2,FALSE))/(3600*Main!$C$7*VLOOKUP(L133,Calculations!$B$4:$F$15,2,FALSE)^5)</f>
        <v>0.14820436411902377</v>
      </c>
      <c r="N133" s="37">
        <f t="shared" si="10"/>
        <v>0</v>
      </c>
      <c r="O133" s="37">
        <f>IF(H133&lt;32,SteamProperties!$F$24*Radiators!F133,IF(H133&lt;56,SteamProperties!$F$25*Radiators!F133,SteamProperties!$F$26*Radiators!F133))</f>
        <v>0</v>
      </c>
      <c r="P133" s="37">
        <f>IF(H133&lt;32,Calculations!$F$5*Radiators!F133,IF(H133&lt;56,Calculations!$F$6*Radiators!F133,Calculations!$F$7*Radiators!F133))</f>
        <v>0</v>
      </c>
      <c r="Q133" s="37">
        <f t="shared" si="11"/>
        <v>0</v>
      </c>
    </row>
    <row r="134" spans="2:17">
      <c r="B134" s="33"/>
      <c r="C134" s="34"/>
      <c r="D134" s="34"/>
      <c r="E134" s="34"/>
      <c r="F134" s="34"/>
      <c r="G134" s="34"/>
      <c r="H134" s="34">
        <f>IFERROR(IF(B134="Column",INDEX(RadCompList!$C$4:$G$13,MATCH(C134,RadCompList!$B$4:$B$13),MATCH(Radiators!D134,RadCompList!$C$3:$G$3)),IF(B134="Tube",INDEX(RadCompList!$C$16:$I$22,MATCH(C134,RadCompList!$B$16:$B$22),MATCH(Radiators!D134,RadCompList!$C$15:$I$15)),IF(B134="Cast Rad/Conv",INDEX(RadCompList!$C$28:$D$28,MATCH(C134,RadCompList!$B$28),MATCH(Radiators!D134,RadCompList!$C$27:$D$27)),IF(B134="Copper Cabinet",(INDEX(RadCompList!$E$39:$J$78,MATCH(Radiators!D134,RadCompList!$D$39:$D$78,0),MATCH(C134,RadCompList!$E$38:$J$38,0))),0))))*E134,0)*$A$2</f>
        <v>0</v>
      </c>
      <c r="I134" s="34">
        <f t="shared" si="9"/>
        <v>0</v>
      </c>
      <c r="J134" s="35">
        <f>IFERROR(VLOOKUP(G134,VentList!$A$1:$D$198,2,FALSE),0)</f>
        <v>0</v>
      </c>
      <c r="K134" s="26">
        <f>IFERROR(VLOOKUP(B134,RadCompList!$P$3:$Q$6,2,FALSE)*H134,0)</f>
        <v>0</v>
      </c>
      <c r="L134" s="26" t="str">
        <f t="shared" ref="L134:L197" si="12">IF(H134&lt;32, "3/4",IF(H134&lt;56, "1", IF(H134&lt;124," 1 1/2",IF(H134&gt;124,"2"))))</f>
        <v>3/4</v>
      </c>
      <c r="M134" s="37">
        <f>Main!$G$8-0.0001306*N134^2 * F134*(1+3.6/VLOOKUP(L134,Calculations!$B$4:$F$15,2,FALSE))/(3600*Main!$C$7*VLOOKUP(L134,Calculations!$B$4:$F$15,2,FALSE)^5)</f>
        <v>0.14820436411902377</v>
      </c>
      <c r="N134" s="37">
        <f t="shared" si="10"/>
        <v>0</v>
      </c>
      <c r="O134" s="37">
        <f>IF(H134&lt;32,SteamProperties!$F$24*Radiators!F134,IF(H134&lt;56,SteamProperties!$F$25*Radiators!F134,SteamProperties!$F$26*Radiators!F134))</f>
        <v>0</v>
      </c>
      <c r="P134" s="37">
        <f>IF(H134&lt;32,Calculations!$F$5*Radiators!F134,IF(H134&lt;56,Calculations!$F$6*Radiators!F134,Calculations!$F$7*Radiators!F134))</f>
        <v>0</v>
      </c>
      <c r="Q134" s="37">
        <f t="shared" si="11"/>
        <v>0</v>
      </c>
    </row>
    <row r="135" spans="2:17">
      <c r="B135" s="33"/>
      <c r="C135" s="34"/>
      <c r="D135" s="34"/>
      <c r="E135" s="34"/>
      <c r="F135" s="34"/>
      <c r="G135" s="34"/>
      <c r="H135" s="34">
        <f>IFERROR(IF(B135="Column",INDEX(RadCompList!$C$4:$G$13,MATCH(C135,RadCompList!$B$4:$B$13),MATCH(Radiators!D135,RadCompList!$C$3:$G$3)),IF(B135="Tube",INDEX(RadCompList!$C$16:$I$22,MATCH(C135,RadCompList!$B$16:$B$22),MATCH(Radiators!D135,RadCompList!$C$15:$I$15)),IF(B135="Cast Rad/Conv",INDEX(RadCompList!$C$28:$D$28,MATCH(C135,RadCompList!$B$28),MATCH(Radiators!D135,RadCompList!$C$27:$D$27)),IF(B135="Copper Cabinet",(INDEX(RadCompList!$E$39:$J$78,MATCH(Radiators!D135,RadCompList!$D$39:$D$78,0),MATCH(C135,RadCompList!$E$38:$J$38,0))),0))))*E135,0)*$A$2</f>
        <v>0</v>
      </c>
      <c r="I135" s="34">
        <f t="shared" si="9"/>
        <v>0</v>
      </c>
      <c r="J135" s="35">
        <f>IFERROR(VLOOKUP(G135,VentList!$A$1:$D$198,2,FALSE),0)</f>
        <v>0</v>
      </c>
      <c r="K135" s="26">
        <f>IFERROR(VLOOKUP(B135,RadCompList!$P$3:$Q$6,2,FALSE)*H135,0)</f>
        <v>0</v>
      </c>
      <c r="L135" s="26" t="str">
        <f t="shared" si="12"/>
        <v>3/4</v>
      </c>
      <c r="M135" s="37">
        <f>Main!$G$8-0.0001306*N135^2 * F135*(1+3.6/VLOOKUP(L135,Calculations!$B$4:$F$15,2,FALSE))/(3600*Main!$C$7*VLOOKUP(L135,Calculations!$B$4:$F$15,2,FALSE)^5)</f>
        <v>0.14820436411902377</v>
      </c>
      <c r="N135" s="37">
        <f t="shared" si="10"/>
        <v>0</v>
      </c>
      <c r="O135" s="37">
        <f>IF(H135&lt;32,SteamProperties!$F$24*Radiators!F135,IF(H135&lt;56,SteamProperties!$F$25*Radiators!F135,SteamProperties!$F$26*Radiators!F135))</f>
        <v>0</v>
      </c>
      <c r="P135" s="37">
        <f>IF(H135&lt;32,Calculations!$F$5*Radiators!F135,IF(H135&lt;56,Calculations!$F$6*Radiators!F135,Calculations!$F$7*Radiators!F135))</f>
        <v>0</v>
      </c>
      <c r="Q135" s="37">
        <f t="shared" si="11"/>
        <v>0</v>
      </c>
    </row>
    <row r="136" spans="2:17">
      <c r="B136" s="33"/>
      <c r="C136" s="34"/>
      <c r="D136" s="34"/>
      <c r="E136" s="34"/>
      <c r="F136" s="34"/>
      <c r="G136" s="34"/>
      <c r="H136" s="34">
        <f>IFERROR(IF(B136="Column",INDEX(RadCompList!$C$4:$G$13,MATCH(C136,RadCompList!$B$4:$B$13),MATCH(Radiators!D136,RadCompList!$C$3:$G$3)),IF(B136="Tube",INDEX(RadCompList!$C$16:$I$22,MATCH(C136,RadCompList!$B$16:$B$22),MATCH(Radiators!D136,RadCompList!$C$15:$I$15)),IF(B136="Cast Rad/Conv",INDEX(RadCompList!$C$28:$D$28,MATCH(C136,RadCompList!$B$28),MATCH(Radiators!D136,RadCompList!$C$27:$D$27)),IF(B136="Copper Cabinet",(INDEX(RadCompList!$E$39:$J$78,MATCH(Radiators!D136,RadCompList!$D$39:$D$78,0),MATCH(C136,RadCompList!$E$38:$J$38,0))),0))))*E136,0)*$A$2</f>
        <v>0</v>
      </c>
      <c r="I136" s="34">
        <f t="shared" si="9"/>
        <v>0</v>
      </c>
      <c r="J136" s="35">
        <f>IFERROR(VLOOKUP(G136,VentList!$A$1:$D$198,2,FALSE),0)</f>
        <v>0</v>
      </c>
      <c r="K136" s="26">
        <f>IFERROR(VLOOKUP(B136,RadCompList!$P$3:$Q$6,2,FALSE)*H136,0)</f>
        <v>0</v>
      </c>
      <c r="L136" s="26" t="str">
        <f t="shared" si="12"/>
        <v>3/4</v>
      </c>
      <c r="M136" s="37">
        <f>Main!$G$8-0.0001306*N136^2 * F136*(1+3.6/VLOOKUP(L136,Calculations!$B$4:$F$15,2,FALSE))/(3600*Main!$C$7*VLOOKUP(L136,Calculations!$B$4:$F$15,2,FALSE)^5)</f>
        <v>0.14820436411902377</v>
      </c>
      <c r="N136" s="37">
        <f t="shared" si="10"/>
        <v>0</v>
      </c>
      <c r="O136" s="37">
        <f>IF(H136&lt;32,SteamProperties!$F$24*Radiators!F136,IF(H136&lt;56,SteamProperties!$F$25*Radiators!F136,SteamProperties!$F$26*Radiators!F136))</f>
        <v>0</v>
      </c>
      <c r="P136" s="37">
        <f>IF(H136&lt;32,Calculations!$F$5*Radiators!F136,IF(H136&lt;56,Calculations!$F$6*Radiators!F136,Calculations!$F$7*Radiators!F136))</f>
        <v>0</v>
      </c>
      <c r="Q136" s="37">
        <f t="shared" si="11"/>
        <v>0</v>
      </c>
    </row>
    <row r="137" spans="2:17">
      <c r="B137" s="33"/>
      <c r="C137" s="34"/>
      <c r="D137" s="34"/>
      <c r="E137" s="34"/>
      <c r="F137" s="34"/>
      <c r="G137" s="34"/>
      <c r="H137" s="34">
        <f>IFERROR(IF(B137="Column",INDEX(RadCompList!$C$4:$G$13,MATCH(C137,RadCompList!$B$4:$B$13),MATCH(Radiators!D137,RadCompList!$C$3:$G$3)),IF(B137="Tube",INDEX(RadCompList!$C$16:$I$22,MATCH(C137,RadCompList!$B$16:$B$22),MATCH(Radiators!D137,RadCompList!$C$15:$I$15)),IF(B137="Cast Rad/Conv",INDEX(RadCompList!$C$28:$D$28,MATCH(C137,RadCompList!$B$28),MATCH(Radiators!D137,RadCompList!$C$27:$D$27)),IF(B137="Copper Cabinet",(INDEX(RadCompList!$E$39:$J$78,MATCH(Radiators!D137,RadCompList!$D$39:$D$78,0),MATCH(C137,RadCompList!$E$38:$J$38,0))),0))))*E137,0)*$A$2</f>
        <v>0</v>
      </c>
      <c r="I137" s="34">
        <f t="shared" si="9"/>
        <v>0</v>
      </c>
      <c r="J137" s="35">
        <f>IFERROR(VLOOKUP(G137,VentList!$A$1:$D$198,2,FALSE),0)</f>
        <v>0</v>
      </c>
      <c r="K137" s="26">
        <f>IFERROR(VLOOKUP(B137,RadCompList!$P$3:$Q$6,2,FALSE)*H137,0)</f>
        <v>0</v>
      </c>
      <c r="L137" s="26" t="str">
        <f t="shared" si="12"/>
        <v>3/4</v>
      </c>
      <c r="M137" s="37">
        <f>Main!$G$8-0.0001306*N137^2 * F137*(1+3.6/VLOOKUP(L137,Calculations!$B$4:$F$15,2,FALSE))/(3600*Main!$C$7*VLOOKUP(L137,Calculations!$B$4:$F$15,2,FALSE)^5)</f>
        <v>0.14820436411902377</v>
      </c>
      <c r="N137" s="37">
        <f t="shared" si="10"/>
        <v>0</v>
      </c>
      <c r="O137" s="37">
        <f>IF(H137&lt;32,SteamProperties!$F$24*Radiators!F137,IF(H137&lt;56,SteamProperties!$F$25*Radiators!F137,SteamProperties!$F$26*Radiators!F137))</f>
        <v>0</v>
      </c>
      <c r="P137" s="37">
        <f>IF(H137&lt;32,Calculations!$F$5*Radiators!F137,IF(H137&lt;56,Calculations!$F$6*Radiators!F137,Calculations!$F$7*Radiators!F137))</f>
        <v>0</v>
      </c>
      <c r="Q137" s="37">
        <f t="shared" si="11"/>
        <v>0</v>
      </c>
    </row>
    <row r="138" spans="2:17">
      <c r="B138" s="33"/>
      <c r="C138" s="34"/>
      <c r="D138" s="34"/>
      <c r="E138" s="34"/>
      <c r="F138" s="34"/>
      <c r="G138" s="34"/>
      <c r="H138" s="34">
        <f>IFERROR(IF(B138="Column",INDEX(RadCompList!$C$4:$G$13,MATCH(C138,RadCompList!$B$4:$B$13),MATCH(Radiators!D138,RadCompList!$C$3:$G$3)),IF(B138="Tube",INDEX(RadCompList!$C$16:$I$22,MATCH(C138,RadCompList!$B$16:$B$22),MATCH(Radiators!D138,RadCompList!$C$15:$I$15)),IF(B138="Cast Rad/Conv",INDEX(RadCompList!$C$28:$D$28,MATCH(C138,RadCompList!$B$28),MATCH(Radiators!D138,RadCompList!$C$27:$D$27)),IF(B138="Copper Cabinet",(INDEX(RadCompList!$E$39:$J$78,MATCH(Radiators!D138,RadCompList!$D$39:$D$78,0),MATCH(C138,RadCompList!$E$38:$J$38,0))),0))))*E138,0)*$A$2</f>
        <v>0</v>
      </c>
      <c r="I138" s="34">
        <f t="shared" si="9"/>
        <v>0</v>
      </c>
      <c r="J138" s="35">
        <f>IFERROR(VLOOKUP(G138,VentList!$A$1:$D$198,2,FALSE),0)</f>
        <v>0</v>
      </c>
      <c r="K138" s="26">
        <f>IFERROR(VLOOKUP(B138,RadCompList!$P$3:$Q$6,2,FALSE)*H138,0)</f>
        <v>0</v>
      </c>
      <c r="L138" s="26" t="str">
        <f t="shared" si="12"/>
        <v>3/4</v>
      </c>
      <c r="M138" s="37">
        <f>Main!$G$8-0.0001306*N138^2 * F138*(1+3.6/VLOOKUP(L138,Calculations!$B$4:$F$15,2,FALSE))/(3600*Main!$C$7*VLOOKUP(L138,Calculations!$B$4:$F$15,2,FALSE)^5)</f>
        <v>0.14820436411902377</v>
      </c>
      <c r="N138" s="37">
        <f t="shared" si="10"/>
        <v>0</v>
      </c>
      <c r="O138" s="37">
        <f>IF(H138&lt;32,SteamProperties!$F$24*Radiators!F138,IF(H138&lt;56,SteamProperties!$F$25*Radiators!F138,SteamProperties!$F$26*Radiators!F138))</f>
        <v>0</v>
      </c>
      <c r="P138" s="37">
        <f>IF(H138&lt;32,Calculations!$F$5*Radiators!F138,IF(H138&lt;56,Calculations!$F$6*Radiators!F138,Calculations!$F$7*Radiators!F138))</f>
        <v>0</v>
      </c>
      <c r="Q138" s="37">
        <f t="shared" si="11"/>
        <v>0</v>
      </c>
    </row>
    <row r="139" spans="2:17">
      <c r="B139" s="33"/>
      <c r="C139" s="34"/>
      <c r="D139" s="34"/>
      <c r="E139" s="34"/>
      <c r="F139" s="34"/>
      <c r="G139" s="34"/>
      <c r="H139" s="34">
        <f>IFERROR(IF(B139="Column",INDEX(RadCompList!$C$4:$G$13,MATCH(C139,RadCompList!$B$4:$B$13),MATCH(Radiators!D139,RadCompList!$C$3:$G$3)),IF(B139="Tube",INDEX(RadCompList!$C$16:$I$22,MATCH(C139,RadCompList!$B$16:$B$22),MATCH(Radiators!D139,RadCompList!$C$15:$I$15)),IF(B139="Cast Rad/Conv",INDEX(RadCompList!$C$28:$D$28,MATCH(C139,RadCompList!$B$28),MATCH(Radiators!D139,RadCompList!$C$27:$D$27)),IF(B139="Copper Cabinet",(INDEX(RadCompList!$E$39:$J$78,MATCH(Radiators!D139,RadCompList!$D$39:$D$78,0),MATCH(C139,RadCompList!$E$38:$J$38,0))),0))))*E139,0)*$A$2</f>
        <v>0</v>
      </c>
      <c r="I139" s="34">
        <f t="shared" si="9"/>
        <v>0</v>
      </c>
      <c r="J139" s="35">
        <f>IFERROR(VLOOKUP(G139,VentList!$A$1:$D$198,2,FALSE),0)</f>
        <v>0</v>
      </c>
      <c r="K139" s="26">
        <f>IFERROR(VLOOKUP(B139,RadCompList!$P$3:$Q$6,2,FALSE)*H139,0)</f>
        <v>0</v>
      </c>
      <c r="L139" s="26" t="str">
        <f t="shared" si="12"/>
        <v>3/4</v>
      </c>
      <c r="M139" s="37">
        <f>Main!$G$8-0.0001306*N139^2 * F139*(1+3.6/VLOOKUP(L139,Calculations!$B$4:$F$15,2,FALSE))/(3600*Main!$C$7*VLOOKUP(L139,Calculations!$B$4:$F$15,2,FALSE)^5)</f>
        <v>0.14820436411902377</v>
      </c>
      <c r="N139" s="37">
        <f t="shared" si="10"/>
        <v>0</v>
      </c>
      <c r="O139" s="37">
        <f>IF(H139&lt;32,SteamProperties!$F$24*Radiators!F139,IF(H139&lt;56,SteamProperties!$F$25*Radiators!F139,SteamProperties!$F$26*Radiators!F139))</f>
        <v>0</v>
      </c>
      <c r="P139" s="37">
        <f>IF(H139&lt;32,Calculations!$F$5*Radiators!F139,IF(H139&lt;56,Calculations!$F$6*Radiators!F139,Calculations!$F$7*Radiators!F139))</f>
        <v>0</v>
      </c>
      <c r="Q139" s="37">
        <f t="shared" si="11"/>
        <v>0</v>
      </c>
    </row>
    <row r="140" spans="2:17">
      <c r="B140" s="33"/>
      <c r="C140" s="34"/>
      <c r="D140" s="34"/>
      <c r="E140" s="34"/>
      <c r="F140" s="34"/>
      <c r="G140" s="34"/>
      <c r="H140" s="34">
        <f>IFERROR(IF(B140="Column",INDEX(RadCompList!$C$4:$G$13,MATCH(C140,RadCompList!$B$4:$B$13),MATCH(Radiators!D140,RadCompList!$C$3:$G$3)),IF(B140="Tube",INDEX(RadCompList!$C$16:$I$22,MATCH(C140,RadCompList!$B$16:$B$22),MATCH(Radiators!D140,RadCompList!$C$15:$I$15)),IF(B140="Cast Rad/Conv",INDEX(RadCompList!$C$28:$D$28,MATCH(C140,RadCompList!$B$28),MATCH(Radiators!D140,RadCompList!$C$27:$D$27)),IF(B140="Copper Cabinet",(INDEX(RadCompList!$E$39:$J$78,MATCH(Radiators!D140,RadCompList!$D$39:$D$78,0),MATCH(C140,RadCompList!$E$38:$J$38,0))),0))))*E140,0)*$A$2</f>
        <v>0</v>
      </c>
      <c r="I140" s="34">
        <f t="shared" si="9"/>
        <v>0</v>
      </c>
      <c r="J140" s="35">
        <f>IFERROR(VLOOKUP(G140,VentList!$A$1:$D$198,2,FALSE),0)</f>
        <v>0</v>
      </c>
      <c r="K140" s="26">
        <f>IFERROR(VLOOKUP(B140,RadCompList!$P$3:$Q$6,2,FALSE)*H140,0)</f>
        <v>0</v>
      </c>
      <c r="L140" s="26" t="str">
        <f t="shared" si="12"/>
        <v>3/4</v>
      </c>
      <c r="M140" s="37">
        <f>Main!$G$8-0.0001306*N140^2 * F140*(1+3.6/VLOOKUP(L140,Calculations!$B$4:$F$15,2,FALSE))/(3600*Main!$C$7*VLOOKUP(L140,Calculations!$B$4:$F$15,2,FALSE)^5)</f>
        <v>0.14820436411902377</v>
      </c>
      <c r="N140" s="37">
        <f t="shared" si="10"/>
        <v>0</v>
      </c>
      <c r="O140" s="37">
        <f>IF(H140&lt;32,SteamProperties!$F$24*Radiators!F140,IF(H140&lt;56,SteamProperties!$F$25*Radiators!F140,SteamProperties!$F$26*Radiators!F140))</f>
        <v>0</v>
      </c>
      <c r="P140" s="37">
        <f>IF(H140&lt;32,Calculations!$F$5*Radiators!F140,IF(H140&lt;56,Calculations!$F$6*Radiators!F140,Calculations!$F$7*Radiators!F140))</f>
        <v>0</v>
      </c>
      <c r="Q140" s="37">
        <f t="shared" si="11"/>
        <v>0</v>
      </c>
    </row>
    <row r="141" spans="2:17">
      <c r="B141" s="33"/>
      <c r="C141" s="34"/>
      <c r="D141" s="34"/>
      <c r="E141" s="34"/>
      <c r="F141" s="34"/>
      <c r="G141" s="34"/>
      <c r="H141" s="34">
        <f>IFERROR(IF(B141="Column",INDEX(RadCompList!$C$4:$G$13,MATCH(C141,RadCompList!$B$4:$B$13),MATCH(Radiators!D141,RadCompList!$C$3:$G$3)),IF(B141="Tube",INDEX(RadCompList!$C$16:$I$22,MATCH(C141,RadCompList!$B$16:$B$22),MATCH(Radiators!D141,RadCompList!$C$15:$I$15)),IF(B141="Cast Rad/Conv",INDEX(RadCompList!$C$28:$D$28,MATCH(C141,RadCompList!$B$28),MATCH(Radiators!D141,RadCompList!$C$27:$D$27)),IF(B141="Copper Cabinet",(INDEX(RadCompList!$E$39:$J$78,MATCH(Radiators!D141,RadCompList!$D$39:$D$78,0),MATCH(C141,RadCompList!$E$38:$J$38,0))),0))))*E141,0)*$A$2</f>
        <v>0</v>
      </c>
      <c r="I141" s="34">
        <f t="shared" si="9"/>
        <v>0</v>
      </c>
      <c r="J141" s="35">
        <f>IFERROR(VLOOKUP(G141,VentList!$A$1:$D$198,2,FALSE),0)</f>
        <v>0</v>
      </c>
      <c r="K141" s="26">
        <f>IFERROR(VLOOKUP(B141,RadCompList!$P$3:$Q$6,2,FALSE)*H141,0)</f>
        <v>0</v>
      </c>
      <c r="L141" s="26" t="str">
        <f t="shared" si="12"/>
        <v>3/4</v>
      </c>
      <c r="M141" s="37">
        <f>Main!$G$8-0.0001306*N141^2 * F141*(1+3.6/VLOOKUP(L141,Calculations!$B$4:$F$15,2,FALSE))/(3600*Main!$C$7*VLOOKUP(L141,Calculations!$B$4:$F$15,2,FALSE)^5)</f>
        <v>0.14820436411902377</v>
      </c>
      <c r="N141" s="37">
        <f t="shared" si="10"/>
        <v>0</v>
      </c>
      <c r="O141" s="37">
        <f>IF(H141&lt;32,SteamProperties!$F$24*Radiators!F141,IF(H141&lt;56,SteamProperties!$F$25*Radiators!F141,SteamProperties!$F$26*Radiators!F141))</f>
        <v>0</v>
      </c>
      <c r="P141" s="37">
        <f>IF(H141&lt;32,Calculations!$F$5*Radiators!F141,IF(H141&lt;56,Calculations!$F$6*Radiators!F141,Calculations!$F$7*Radiators!F141))</f>
        <v>0</v>
      </c>
      <c r="Q141" s="37">
        <f t="shared" si="11"/>
        <v>0</v>
      </c>
    </row>
    <row r="142" spans="2:17">
      <c r="B142" s="33"/>
      <c r="C142" s="34"/>
      <c r="D142" s="34"/>
      <c r="E142" s="34"/>
      <c r="F142" s="34"/>
      <c r="G142" s="34"/>
      <c r="H142" s="34">
        <f>IFERROR(IF(B142="Column",INDEX(RadCompList!$C$4:$G$13,MATCH(C142,RadCompList!$B$4:$B$13),MATCH(Radiators!D142,RadCompList!$C$3:$G$3)),IF(B142="Tube",INDEX(RadCompList!$C$16:$I$22,MATCH(C142,RadCompList!$B$16:$B$22),MATCH(Radiators!D142,RadCompList!$C$15:$I$15)),IF(B142="Cast Rad/Conv",INDEX(RadCompList!$C$28:$D$28,MATCH(C142,RadCompList!$B$28),MATCH(Radiators!D142,RadCompList!$C$27:$D$27)),IF(B142="Copper Cabinet",(INDEX(RadCompList!$E$39:$J$78,MATCH(Radiators!D142,RadCompList!$D$39:$D$78,0),MATCH(C142,RadCompList!$E$38:$J$38,0))),0))))*E142,0)*$A$2</f>
        <v>0</v>
      </c>
      <c r="I142" s="34">
        <f t="shared" si="9"/>
        <v>0</v>
      </c>
      <c r="J142" s="35">
        <f>IFERROR(VLOOKUP(G142,VentList!$A$1:$D$198,2,FALSE),0)</f>
        <v>0</v>
      </c>
      <c r="K142" s="26">
        <f>IFERROR(VLOOKUP(B142,RadCompList!$P$3:$Q$6,2,FALSE)*H142,0)</f>
        <v>0</v>
      </c>
      <c r="L142" s="26" t="str">
        <f t="shared" si="12"/>
        <v>3/4</v>
      </c>
      <c r="M142" s="37">
        <f>Main!$G$8-0.0001306*N142^2 * F142*(1+3.6/VLOOKUP(L142,Calculations!$B$4:$F$15,2,FALSE))/(3600*Main!$C$7*VLOOKUP(L142,Calculations!$B$4:$F$15,2,FALSE)^5)</f>
        <v>0.14820436411902377</v>
      </c>
      <c r="N142" s="37">
        <f t="shared" si="10"/>
        <v>0</v>
      </c>
      <c r="O142" s="37">
        <f>IF(H142&lt;32,SteamProperties!$F$24*Radiators!F142,IF(H142&lt;56,SteamProperties!$F$25*Radiators!F142,SteamProperties!$F$26*Radiators!F142))</f>
        <v>0</v>
      </c>
      <c r="P142" s="37">
        <f>IF(H142&lt;32,Calculations!$F$5*Radiators!F142,IF(H142&lt;56,Calculations!$F$6*Radiators!F142,Calculations!$F$7*Radiators!F142))</f>
        <v>0</v>
      </c>
      <c r="Q142" s="37">
        <f t="shared" si="11"/>
        <v>0</v>
      </c>
    </row>
    <row r="143" spans="2:17">
      <c r="B143" s="33"/>
      <c r="C143" s="34"/>
      <c r="D143" s="34"/>
      <c r="E143" s="34"/>
      <c r="F143" s="34"/>
      <c r="G143" s="34"/>
      <c r="H143" s="34">
        <f>IFERROR(IF(B143="Column",INDEX(RadCompList!$C$4:$G$13,MATCH(C143,RadCompList!$B$4:$B$13),MATCH(Radiators!D143,RadCompList!$C$3:$G$3)),IF(B143="Tube",INDEX(RadCompList!$C$16:$I$22,MATCH(C143,RadCompList!$B$16:$B$22),MATCH(Radiators!D143,RadCompList!$C$15:$I$15)),IF(B143="Cast Rad/Conv",INDEX(RadCompList!$C$28:$D$28,MATCH(C143,RadCompList!$B$28),MATCH(Radiators!D143,RadCompList!$C$27:$D$27)),IF(B143="Copper Cabinet",(INDEX(RadCompList!$E$39:$J$78,MATCH(Radiators!D143,RadCompList!$D$39:$D$78,0),MATCH(C143,RadCompList!$E$38:$J$38,0))),0))))*E143,0)*$A$2</f>
        <v>0</v>
      </c>
      <c r="I143" s="34">
        <f t="shared" si="9"/>
        <v>0</v>
      </c>
      <c r="J143" s="35">
        <f>IFERROR(VLOOKUP(G143,VentList!$A$1:$D$198,2,FALSE),0)</f>
        <v>0</v>
      </c>
      <c r="K143" s="26">
        <f>IFERROR(VLOOKUP(B143,RadCompList!$P$3:$Q$6,2,FALSE)*H143,0)</f>
        <v>0</v>
      </c>
      <c r="L143" s="26" t="str">
        <f t="shared" si="12"/>
        <v>3/4</v>
      </c>
      <c r="M143" s="37">
        <f>Main!$G$8-0.0001306*N143^2 * F143*(1+3.6/VLOOKUP(L143,Calculations!$B$4:$F$15,2,FALSE))/(3600*Main!$C$7*VLOOKUP(L143,Calculations!$B$4:$F$15,2,FALSE)^5)</f>
        <v>0.14820436411902377</v>
      </c>
      <c r="N143" s="37">
        <f t="shared" si="10"/>
        <v>0</v>
      </c>
      <c r="O143" s="37">
        <f>IF(H143&lt;32,SteamProperties!$F$24*Radiators!F143,IF(H143&lt;56,SteamProperties!$F$25*Radiators!F143,SteamProperties!$F$26*Radiators!F143))</f>
        <v>0</v>
      </c>
      <c r="P143" s="37">
        <f>IF(H143&lt;32,Calculations!$F$5*Radiators!F143,IF(H143&lt;56,Calculations!$F$6*Radiators!F143,Calculations!$F$7*Radiators!F143))</f>
        <v>0</v>
      </c>
      <c r="Q143" s="37">
        <f t="shared" si="11"/>
        <v>0</v>
      </c>
    </row>
    <row r="144" spans="2:17">
      <c r="B144" s="33"/>
      <c r="C144" s="34"/>
      <c r="D144" s="34"/>
      <c r="E144" s="34"/>
      <c r="F144" s="34"/>
      <c r="G144" s="34"/>
      <c r="H144" s="34">
        <f>IFERROR(IF(B144="Column",INDEX(RadCompList!$C$4:$G$13,MATCH(C144,RadCompList!$B$4:$B$13),MATCH(Radiators!D144,RadCompList!$C$3:$G$3)),IF(B144="Tube",INDEX(RadCompList!$C$16:$I$22,MATCH(C144,RadCompList!$B$16:$B$22),MATCH(Radiators!D144,RadCompList!$C$15:$I$15)),IF(B144="Cast Rad/Conv",INDEX(RadCompList!$C$28:$D$28,MATCH(C144,RadCompList!$B$28),MATCH(Radiators!D144,RadCompList!$C$27:$D$27)),IF(B144="Copper Cabinet",(INDEX(RadCompList!$E$39:$J$78,MATCH(Radiators!D144,RadCompList!$D$39:$D$78,0),MATCH(C144,RadCompList!$E$38:$J$38,0))),0))))*E144,0)*$A$2</f>
        <v>0</v>
      </c>
      <c r="I144" s="34">
        <f t="shared" si="9"/>
        <v>0</v>
      </c>
      <c r="J144" s="35">
        <f>IFERROR(VLOOKUP(G144,VentList!$A$1:$D$198,2,FALSE),0)</f>
        <v>0</v>
      </c>
      <c r="K144" s="26">
        <f>IFERROR(VLOOKUP(B144,RadCompList!$P$3:$Q$6,2,FALSE)*H144,0)</f>
        <v>0</v>
      </c>
      <c r="L144" s="26" t="str">
        <f t="shared" si="12"/>
        <v>3/4</v>
      </c>
      <c r="M144" s="37">
        <f>Main!$G$8-0.0001306*N144^2 * F144*(1+3.6/VLOOKUP(L144,Calculations!$B$4:$F$15,2,FALSE))/(3600*Main!$C$7*VLOOKUP(L144,Calculations!$B$4:$F$15,2,FALSE)^5)</f>
        <v>0.14820436411902377</v>
      </c>
      <c r="N144" s="37">
        <f t="shared" si="10"/>
        <v>0</v>
      </c>
      <c r="O144" s="37">
        <f>IF(H144&lt;32,SteamProperties!$F$24*Radiators!F144,IF(H144&lt;56,SteamProperties!$F$25*Radiators!F144,SteamProperties!$F$26*Radiators!F144))</f>
        <v>0</v>
      </c>
      <c r="P144" s="37">
        <f>IF(H144&lt;32,Calculations!$F$5*Radiators!F144,IF(H144&lt;56,Calculations!$F$6*Radiators!F144,Calculations!$F$7*Radiators!F144))</f>
        <v>0</v>
      </c>
      <c r="Q144" s="37">
        <f t="shared" si="11"/>
        <v>0</v>
      </c>
    </row>
    <row r="145" spans="2:17">
      <c r="B145" s="33"/>
      <c r="C145" s="34"/>
      <c r="D145" s="34"/>
      <c r="E145" s="34"/>
      <c r="F145" s="34"/>
      <c r="G145" s="34"/>
      <c r="H145" s="34">
        <f>IFERROR(IF(B145="Column",INDEX(RadCompList!$C$4:$G$13,MATCH(C145,RadCompList!$B$4:$B$13),MATCH(Radiators!D145,RadCompList!$C$3:$G$3)),IF(B145="Tube",INDEX(RadCompList!$C$16:$I$22,MATCH(C145,RadCompList!$B$16:$B$22),MATCH(Radiators!D145,RadCompList!$C$15:$I$15)),IF(B145="Cast Rad/Conv",INDEX(RadCompList!$C$28:$D$28,MATCH(C145,RadCompList!$B$28),MATCH(Radiators!D145,RadCompList!$C$27:$D$27)),IF(B145="Copper Cabinet",(INDEX(RadCompList!$E$39:$J$78,MATCH(Radiators!D145,RadCompList!$D$39:$D$78,0),MATCH(C145,RadCompList!$E$38:$J$38,0))),0))))*E145,0)*$A$2</f>
        <v>0</v>
      </c>
      <c r="I145" s="34">
        <f t="shared" si="9"/>
        <v>0</v>
      </c>
      <c r="J145" s="35">
        <f>IFERROR(VLOOKUP(G145,VentList!$A$1:$D$198,2,FALSE),0)</f>
        <v>0</v>
      </c>
      <c r="K145" s="26">
        <f>IFERROR(VLOOKUP(B145,RadCompList!$P$3:$Q$6,2,FALSE)*H145,0)</f>
        <v>0</v>
      </c>
      <c r="L145" s="26" t="str">
        <f t="shared" si="12"/>
        <v>3/4</v>
      </c>
      <c r="M145" s="37">
        <f>Main!$G$8-0.0001306*N145^2 * F145*(1+3.6/VLOOKUP(L145,Calculations!$B$4:$F$15,2,FALSE))/(3600*Main!$C$7*VLOOKUP(L145,Calculations!$B$4:$F$15,2,FALSE)^5)</f>
        <v>0.14820436411902377</v>
      </c>
      <c r="N145" s="37">
        <f t="shared" si="10"/>
        <v>0</v>
      </c>
      <c r="O145" s="37">
        <f>IF(H145&lt;32,SteamProperties!$F$24*Radiators!F145,IF(H145&lt;56,SteamProperties!$F$25*Radiators!F145,SteamProperties!$F$26*Radiators!F145))</f>
        <v>0</v>
      </c>
      <c r="P145" s="37">
        <f>IF(H145&lt;32,Calculations!$F$5*Radiators!F145,IF(H145&lt;56,Calculations!$F$6*Radiators!F145,Calculations!$F$7*Radiators!F145))</f>
        <v>0</v>
      </c>
      <c r="Q145" s="37">
        <f t="shared" si="11"/>
        <v>0</v>
      </c>
    </row>
    <row r="146" spans="2:17">
      <c r="B146" s="33"/>
      <c r="C146" s="34"/>
      <c r="D146" s="34"/>
      <c r="E146" s="34"/>
      <c r="F146" s="34"/>
      <c r="G146" s="34"/>
      <c r="H146" s="34">
        <f>IFERROR(IF(B146="Column",INDEX(RadCompList!$C$4:$G$13,MATCH(C146,RadCompList!$B$4:$B$13),MATCH(Radiators!D146,RadCompList!$C$3:$G$3)),IF(B146="Tube",INDEX(RadCompList!$C$16:$I$22,MATCH(C146,RadCompList!$B$16:$B$22),MATCH(Radiators!D146,RadCompList!$C$15:$I$15)),IF(B146="Cast Rad/Conv",INDEX(RadCompList!$C$28:$D$28,MATCH(C146,RadCompList!$B$28),MATCH(Radiators!D146,RadCompList!$C$27:$D$27)),IF(B146="Copper Cabinet",(INDEX(RadCompList!$E$39:$J$78,MATCH(Radiators!D146,RadCompList!$D$39:$D$78,0),MATCH(C146,RadCompList!$E$38:$J$38,0))),0))))*E146,0)*$A$2</f>
        <v>0</v>
      </c>
      <c r="I146" s="34">
        <f t="shared" si="9"/>
        <v>0</v>
      </c>
      <c r="J146" s="35">
        <f>IFERROR(VLOOKUP(G146,VentList!$A$1:$D$198,2,FALSE),0)</f>
        <v>0</v>
      </c>
      <c r="K146" s="26">
        <f>IFERROR(VLOOKUP(B146,RadCompList!$P$3:$Q$6,2,FALSE)*H146,0)</f>
        <v>0</v>
      </c>
      <c r="L146" s="26" t="str">
        <f t="shared" si="12"/>
        <v>3/4</v>
      </c>
      <c r="M146" s="37">
        <f>Main!$G$8-0.0001306*N146^2 * F146*(1+3.6/VLOOKUP(L146,Calculations!$B$4:$F$15,2,FALSE))/(3600*Main!$C$7*VLOOKUP(L146,Calculations!$B$4:$F$15,2,FALSE)^5)</f>
        <v>0.14820436411902377</v>
      </c>
      <c r="N146" s="37">
        <f t="shared" si="10"/>
        <v>0</v>
      </c>
      <c r="O146" s="37">
        <f>IF(H146&lt;32,SteamProperties!$F$24*Radiators!F146,IF(H146&lt;56,SteamProperties!$F$25*Radiators!F146,SteamProperties!$F$26*Radiators!F146))</f>
        <v>0</v>
      </c>
      <c r="P146" s="37">
        <f>IF(H146&lt;32,Calculations!$F$5*Radiators!F146,IF(H146&lt;56,Calculations!$F$6*Radiators!F146,Calculations!$F$7*Radiators!F146))</f>
        <v>0</v>
      </c>
      <c r="Q146" s="37">
        <f t="shared" si="11"/>
        <v>0</v>
      </c>
    </row>
    <row r="147" spans="2:17">
      <c r="B147" s="33"/>
      <c r="C147" s="34"/>
      <c r="D147" s="34"/>
      <c r="E147" s="34"/>
      <c r="F147" s="34"/>
      <c r="G147" s="34"/>
      <c r="H147" s="34">
        <f>IFERROR(IF(B147="Column",INDEX(RadCompList!$C$4:$G$13,MATCH(C147,RadCompList!$B$4:$B$13),MATCH(Radiators!D147,RadCompList!$C$3:$G$3)),IF(B147="Tube",INDEX(RadCompList!$C$16:$I$22,MATCH(C147,RadCompList!$B$16:$B$22),MATCH(Radiators!D147,RadCompList!$C$15:$I$15)),IF(B147="Cast Rad/Conv",INDEX(RadCompList!$C$28:$D$28,MATCH(C147,RadCompList!$B$28),MATCH(Radiators!D147,RadCompList!$C$27:$D$27)),IF(B147="Copper Cabinet",(INDEX(RadCompList!$E$39:$J$78,MATCH(Radiators!D147,RadCompList!$D$39:$D$78,0),MATCH(C147,RadCompList!$E$38:$J$38,0))),0))))*E147,0)*$A$2</f>
        <v>0</v>
      </c>
      <c r="I147" s="34">
        <f t="shared" si="9"/>
        <v>0</v>
      </c>
      <c r="J147" s="35">
        <f>IFERROR(VLOOKUP(G147,VentList!$A$1:$D$198,2,FALSE),0)</f>
        <v>0</v>
      </c>
      <c r="K147" s="26">
        <f>IFERROR(VLOOKUP(B147,RadCompList!$P$3:$Q$6,2,FALSE)*H147,0)</f>
        <v>0</v>
      </c>
      <c r="L147" s="26" t="str">
        <f t="shared" si="12"/>
        <v>3/4</v>
      </c>
      <c r="M147" s="37">
        <f>Main!$G$8-0.0001306*N147^2 * F147*(1+3.6/VLOOKUP(L147,Calculations!$B$4:$F$15,2,FALSE))/(3600*Main!$C$7*VLOOKUP(L147,Calculations!$B$4:$F$15,2,FALSE)^5)</f>
        <v>0.14820436411902377</v>
      </c>
      <c r="N147" s="37">
        <f t="shared" si="10"/>
        <v>0</v>
      </c>
      <c r="O147" s="37">
        <f>IF(H147&lt;32,SteamProperties!$F$24*Radiators!F147,IF(H147&lt;56,SteamProperties!$F$25*Radiators!F147,SteamProperties!$F$26*Radiators!F147))</f>
        <v>0</v>
      </c>
      <c r="P147" s="37">
        <f>IF(H147&lt;32,Calculations!$F$5*Radiators!F147,IF(H147&lt;56,Calculations!$F$6*Radiators!F147,Calculations!$F$7*Radiators!F147))</f>
        <v>0</v>
      </c>
      <c r="Q147" s="37">
        <f t="shared" si="11"/>
        <v>0</v>
      </c>
    </row>
    <row r="148" spans="2:17">
      <c r="B148" s="33"/>
      <c r="C148" s="34"/>
      <c r="D148" s="34"/>
      <c r="E148" s="34"/>
      <c r="F148" s="34"/>
      <c r="G148" s="34"/>
      <c r="H148" s="34">
        <f>IFERROR(IF(B148="Column",INDEX(RadCompList!$C$4:$G$13,MATCH(C148,RadCompList!$B$4:$B$13),MATCH(Radiators!D148,RadCompList!$C$3:$G$3)),IF(B148="Tube",INDEX(RadCompList!$C$16:$I$22,MATCH(C148,RadCompList!$B$16:$B$22),MATCH(Radiators!D148,RadCompList!$C$15:$I$15)),IF(B148="Cast Rad/Conv",INDEX(RadCompList!$C$28:$D$28,MATCH(C148,RadCompList!$B$28),MATCH(Radiators!D148,RadCompList!$C$27:$D$27)),IF(B148="Copper Cabinet",(INDEX(RadCompList!$E$39:$J$78,MATCH(Radiators!D148,RadCompList!$D$39:$D$78,0),MATCH(C148,RadCompList!$E$38:$J$38,0))),0))))*E148,0)*$A$2</f>
        <v>0</v>
      </c>
      <c r="I148" s="34">
        <f t="shared" si="9"/>
        <v>0</v>
      </c>
      <c r="J148" s="35">
        <f>IFERROR(VLOOKUP(G148,VentList!$A$1:$D$198,2,FALSE),0)</f>
        <v>0</v>
      </c>
      <c r="K148" s="26">
        <f>IFERROR(VLOOKUP(B148,RadCompList!$P$3:$Q$6,2,FALSE)*H148,0)</f>
        <v>0</v>
      </c>
      <c r="L148" s="26" t="str">
        <f t="shared" si="12"/>
        <v>3/4</v>
      </c>
      <c r="M148" s="37">
        <f>Main!$G$8-0.0001306*N148^2 * F148*(1+3.6/VLOOKUP(L148,Calculations!$B$4:$F$15,2,FALSE))/(3600*Main!$C$7*VLOOKUP(L148,Calculations!$B$4:$F$15,2,FALSE)^5)</f>
        <v>0.14820436411902377</v>
      </c>
      <c r="N148" s="37">
        <f t="shared" si="10"/>
        <v>0</v>
      </c>
      <c r="O148" s="37">
        <f>IF(H148&lt;32,SteamProperties!$F$24*Radiators!F148,IF(H148&lt;56,SteamProperties!$F$25*Radiators!F148,SteamProperties!$F$26*Radiators!F148))</f>
        <v>0</v>
      </c>
      <c r="P148" s="37">
        <f>IF(H148&lt;32,Calculations!$F$5*Radiators!F148,IF(H148&lt;56,Calculations!$F$6*Radiators!F148,Calculations!$F$7*Radiators!F148))</f>
        <v>0</v>
      </c>
      <c r="Q148" s="37">
        <f t="shared" si="11"/>
        <v>0</v>
      </c>
    </row>
    <row r="149" spans="2:17">
      <c r="B149" s="33"/>
      <c r="C149" s="34"/>
      <c r="D149" s="34"/>
      <c r="E149" s="34"/>
      <c r="F149" s="34"/>
      <c r="G149" s="34"/>
      <c r="H149" s="34">
        <f>IFERROR(IF(B149="Column",INDEX(RadCompList!$C$4:$G$13,MATCH(C149,RadCompList!$B$4:$B$13),MATCH(Radiators!D149,RadCompList!$C$3:$G$3)),IF(B149="Tube",INDEX(RadCompList!$C$16:$I$22,MATCH(C149,RadCompList!$B$16:$B$22),MATCH(Radiators!D149,RadCompList!$C$15:$I$15)),IF(B149="Cast Rad/Conv",INDEX(RadCompList!$C$28:$D$28,MATCH(C149,RadCompList!$B$28),MATCH(Radiators!D149,RadCompList!$C$27:$D$27)),IF(B149="Copper Cabinet",(INDEX(RadCompList!$E$39:$J$78,MATCH(Radiators!D149,RadCompList!$D$39:$D$78,0),MATCH(C149,RadCompList!$E$38:$J$38,0))),0))))*E149,0)*$A$2</f>
        <v>0</v>
      </c>
      <c r="I149" s="34">
        <f t="shared" si="9"/>
        <v>0</v>
      </c>
      <c r="J149" s="35">
        <f>IFERROR(VLOOKUP(G149,VentList!$A$1:$D$198,2,FALSE),0)</f>
        <v>0</v>
      </c>
      <c r="K149" s="26">
        <f>IFERROR(VLOOKUP(B149,RadCompList!$P$3:$Q$6,2,FALSE)*H149,0)</f>
        <v>0</v>
      </c>
      <c r="L149" s="26" t="str">
        <f t="shared" si="12"/>
        <v>3/4</v>
      </c>
      <c r="M149" s="37">
        <f>Main!$G$8-0.0001306*N149^2 * F149*(1+3.6/VLOOKUP(L149,Calculations!$B$4:$F$15,2,FALSE))/(3600*Main!$C$7*VLOOKUP(L149,Calculations!$B$4:$F$15,2,FALSE)^5)</f>
        <v>0.14820436411902377</v>
      </c>
      <c r="N149" s="37">
        <f t="shared" si="10"/>
        <v>0</v>
      </c>
      <c r="O149" s="37">
        <f>IF(H149&lt;32,SteamProperties!$F$24*Radiators!F149,IF(H149&lt;56,SteamProperties!$F$25*Radiators!F149,SteamProperties!$F$26*Radiators!F149))</f>
        <v>0</v>
      </c>
      <c r="P149" s="37">
        <f>IF(H149&lt;32,Calculations!$F$5*Radiators!F149,IF(H149&lt;56,Calculations!$F$6*Radiators!F149,Calculations!$F$7*Radiators!F149))</f>
        <v>0</v>
      </c>
      <c r="Q149" s="37">
        <f t="shared" si="11"/>
        <v>0</v>
      </c>
    </row>
    <row r="150" spans="2:17">
      <c r="B150" s="33"/>
      <c r="C150" s="34"/>
      <c r="D150" s="34"/>
      <c r="E150" s="34"/>
      <c r="F150" s="34"/>
      <c r="G150" s="34"/>
      <c r="H150" s="34">
        <f>IFERROR(IF(B150="Column",INDEX(RadCompList!$C$4:$G$13,MATCH(C150,RadCompList!$B$4:$B$13),MATCH(Radiators!D150,RadCompList!$C$3:$G$3)),IF(B150="Tube",INDEX(RadCompList!$C$16:$I$22,MATCH(C150,RadCompList!$B$16:$B$22),MATCH(Radiators!D150,RadCompList!$C$15:$I$15)),IF(B150="Cast Rad/Conv",INDEX(RadCompList!$C$28:$D$28,MATCH(C150,RadCompList!$B$28),MATCH(Radiators!D150,RadCompList!$C$27:$D$27)),IF(B150="Copper Cabinet",(INDEX(RadCompList!$E$39:$J$78,MATCH(Radiators!D150,RadCompList!$D$39:$D$78,0),MATCH(C150,RadCompList!$E$38:$J$38,0))),0))))*E150,0)*$A$2</f>
        <v>0</v>
      </c>
      <c r="I150" s="34">
        <f t="shared" si="9"/>
        <v>0</v>
      </c>
      <c r="J150" s="35">
        <f>IFERROR(VLOOKUP(G150,VentList!$A$1:$D$198,2,FALSE),0)</f>
        <v>0</v>
      </c>
      <c r="K150" s="26">
        <f>IFERROR(VLOOKUP(B150,RadCompList!$P$3:$Q$6,2,FALSE)*H150,0)</f>
        <v>0</v>
      </c>
      <c r="L150" s="26" t="str">
        <f t="shared" si="12"/>
        <v>3/4</v>
      </c>
      <c r="M150" s="37">
        <f>Main!$G$8-0.0001306*N150^2 * F150*(1+3.6/VLOOKUP(L150,Calculations!$B$4:$F$15,2,FALSE))/(3600*Main!$C$7*VLOOKUP(L150,Calculations!$B$4:$F$15,2,FALSE)^5)</f>
        <v>0.14820436411902377</v>
      </c>
      <c r="N150" s="37">
        <f t="shared" si="10"/>
        <v>0</v>
      </c>
      <c r="O150" s="37">
        <f>IF(H150&lt;32,SteamProperties!$F$24*Radiators!F150,IF(H150&lt;56,SteamProperties!$F$25*Radiators!F150,SteamProperties!$F$26*Radiators!F150))</f>
        <v>0</v>
      </c>
      <c r="P150" s="37">
        <f>IF(H150&lt;32,Calculations!$F$5*Radiators!F150,IF(H150&lt;56,Calculations!$F$6*Radiators!F150,Calculations!$F$7*Radiators!F150))</f>
        <v>0</v>
      </c>
      <c r="Q150" s="37">
        <f t="shared" si="11"/>
        <v>0</v>
      </c>
    </row>
    <row r="151" spans="2:17">
      <c r="B151" s="33"/>
      <c r="C151" s="34"/>
      <c r="D151" s="34"/>
      <c r="E151" s="34"/>
      <c r="F151" s="34"/>
      <c r="G151" s="34"/>
      <c r="H151" s="34">
        <f>IFERROR(IF(B151="Column",INDEX(RadCompList!$C$4:$G$13,MATCH(C151,RadCompList!$B$4:$B$13),MATCH(Radiators!D151,RadCompList!$C$3:$G$3)),IF(B151="Tube",INDEX(RadCompList!$C$16:$I$22,MATCH(C151,RadCompList!$B$16:$B$22),MATCH(Radiators!D151,RadCompList!$C$15:$I$15)),IF(B151="Cast Rad/Conv",INDEX(RadCompList!$C$28:$D$28,MATCH(C151,RadCompList!$B$28),MATCH(Radiators!D151,RadCompList!$C$27:$D$27)),IF(B151="Copper Cabinet",(INDEX(RadCompList!$E$39:$J$78,MATCH(Radiators!D151,RadCompList!$D$39:$D$78,0),MATCH(C151,RadCompList!$E$38:$J$38,0))),0))))*E151,0)*$A$2</f>
        <v>0</v>
      </c>
      <c r="I151" s="34">
        <f t="shared" si="9"/>
        <v>0</v>
      </c>
      <c r="J151" s="35">
        <f>IFERROR(VLOOKUP(G151,VentList!$A$1:$D$198,2,FALSE),0)</f>
        <v>0</v>
      </c>
      <c r="K151" s="26">
        <f>IFERROR(VLOOKUP(B151,RadCompList!$P$3:$Q$6,2,FALSE)*H151,0)</f>
        <v>0</v>
      </c>
      <c r="L151" s="26" t="str">
        <f t="shared" si="12"/>
        <v>3/4</v>
      </c>
      <c r="M151" s="37">
        <f>Main!$G$8-0.0001306*N151^2 * F151*(1+3.6/VLOOKUP(L151,Calculations!$B$4:$F$15,2,FALSE))/(3600*Main!$C$7*VLOOKUP(L151,Calculations!$B$4:$F$15,2,FALSE)^5)</f>
        <v>0.14820436411902377</v>
      </c>
      <c r="N151" s="37">
        <f t="shared" si="10"/>
        <v>0</v>
      </c>
      <c r="O151" s="37">
        <f>IF(H151&lt;32,SteamProperties!$F$24*Radiators!F151,IF(H151&lt;56,SteamProperties!$F$25*Radiators!F151,SteamProperties!$F$26*Radiators!F151))</f>
        <v>0</v>
      </c>
      <c r="P151" s="37">
        <f>IF(H151&lt;32,Calculations!$F$5*Radiators!F151,IF(H151&lt;56,Calculations!$F$6*Radiators!F151,Calculations!$F$7*Radiators!F151))</f>
        <v>0</v>
      </c>
      <c r="Q151" s="37">
        <f t="shared" si="11"/>
        <v>0</v>
      </c>
    </row>
    <row r="152" spans="2:17">
      <c r="B152" s="33"/>
      <c r="C152" s="34"/>
      <c r="D152" s="34"/>
      <c r="E152" s="34"/>
      <c r="F152" s="34"/>
      <c r="G152" s="34"/>
      <c r="H152" s="34">
        <f>IFERROR(IF(B152="Column",INDEX(RadCompList!$C$4:$G$13,MATCH(C152,RadCompList!$B$4:$B$13),MATCH(Radiators!D152,RadCompList!$C$3:$G$3)),IF(B152="Tube",INDEX(RadCompList!$C$16:$I$22,MATCH(C152,RadCompList!$B$16:$B$22),MATCH(Radiators!D152,RadCompList!$C$15:$I$15)),IF(B152="Cast Rad/Conv",INDEX(RadCompList!$C$28:$D$28,MATCH(C152,RadCompList!$B$28),MATCH(Radiators!D152,RadCompList!$C$27:$D$27)),IF(B152="Copper Cabinet",(INDEX(RadCompList!$E$39:$J$78,MATCH(Radiators!D152,RadCompList!$D$39:$D$78,0),MATCH(C152,RadCompList!$E$38:$J$38,0))),0))))*E152,0)*$A$2</f>
        <v>0</v>
      </c>
      <c r="I152" s="34">
        <f t="shared" si="9"/>
        <v>0</v>
      </c>
      <c r="J152" s="35">
        <f>IFERROR(VLOOKUP(G152,VentList!$A$1:$D$198,2,FALSE),0)</f>
        <v>0</v>
      </c>
      <c r="K152" s="26">
        <f>IFERROR(VLOOKUP(B152,RadCompList!$P$3:$Q$6,2,FALSE)*H152,0)</f>
        <v>0</v>
      </c>
      <c r="L152" s="26" t="str">
        <f t="shared" si="12"/>
        <v>3/4</v>
      </c>
      <c r="M152" s="37">
        <f>Main!$G$8-0.0001306*N152^2 * F152*(1+3.6/VLOOKUP(L152,Calculations!$B$4:$F$15,2,FALSE))/(3600*Main!$C$7*VLOOKUP(L152,Calculations!$B$4:$F$15,2,FALSE)^5)</f>
        <v>0.14820436411902377</v>
      </c>
      <c r="N152" s="37">
        <f t="shared" si="10"/>
        <v>0</v>
      </c>
      <c r="O152" s="37">
        <f>IF(H152&lt;32,SteamProperties!$F$24*Radiators!F152,IF(H152&lt;56,SteamProperties!$F$25*Radiators!F152,SteamProperties!$F$26*Radiators!F152))</f>
        <v>0</v>
      </c>
      <c r="P152" s="37">
        <f>IF(H152&lt;32,Calculations!$F$5*Radiators!F152,IF(H152&lt;56,Calculations!$F$6*Radiators!F152,Calculations!$F$7*Radiators!F152))</f>
        <v>0</v>
      </c>
      <c r="Q152" s="37">
        <f t="shared" si="11"/>
        <v>0</v>
      </c>
    </row>
    <row r="153" spans="2:17">
      <c r="B153" s="33"/>
      <c r="C153" s="34"/>
      <c r="D153" s="34"/>
      <c r="E153" s="34"/>
      <c r="F153" s="34"/>
      <c r="G153" s="34"/>
      <c r="H153" s="34">
        <f>IFERROR(IF(B153="Column",INDEX(RadCompList!$C$4:$G$13,MATCH(C153,RadCompList!$B$4:$B$13),MATCH(Radiators!D153,RadCompList!$C$3:$G$3)),IF(B153="Tube",INDEX(RadCompList!$C$16:$I$22,MATCH(C153,RadCompList!$B$16:$B$22),MATCH(Radiators!D153,RadCompList!$C$15:$I$15)),IF(B153="Cast Rad/Conv",INDEX(RadCompList!$C$28:$D$28,MATCH(C153,RadCompList!$B$28),MATCH(Radiators!D153,RadCompList!$C$27:$D$27)),IF(B153="Copper Cabinet",(INDEX(RadCompList!$E$39:$J$78,MATCH(Radiators!D153,RadCompList!$D$39:$D$78,0),MATCH(C153,RadCompList!$E$38:$J$38,0))),0))))*E153,0)*$A$2</f>
        <v>0</v>
      </c>
      <c r="I153" s="34">
        <f t="shared" si="9"/>
        <v>0</v>
      </c>
      <c r="J153" s="35">
        <f>IFERROR(VLOOKUP(G153,VentList!$A$1:$D$198,2,FALSE),0)</f>
        <v>0</v>
      </c>
      <c r="K153" s="26">
        <f>IFERROR(VLOOKUP(B153,RadCompList!$P$3:$Q$6,2,FALSE)*H153,0)</f>
        <v>0</v>
      </c>
      <c r="L153" s="26" t="str">
        <f t="shared" si="12"/>
        <v>3/4</v>
      </c>
      <c r="M153" s="37">
        <f>Main!$G$8-0.0001306*N153^2 * F153*(1+3.6/VLOOKUP(L153,Calculations!$B$4:$F$15,2,FALSE))/(3600*Main!$C$7*VLOOKUP(L153,Calculations!$B$4:$F$15,2,FALSE)^5)</f>
        <v>0.14820436411902377</v>
      </c>
      <c r="N153" s="37">
        <f t="shared" si="10"/>
        <v>0</v>
      </c>
      <c r="O153" s="37">
        <f>IF(H153&lt;32,SteamProperties!$F$24*Radiators!F153,IF(H153&lt;56,SteamProperties!$F$25*Radiators!F153,SteamProperties!$F$26*Radiators!F153))</f>
        <v>0</v>
      </c>
      <c r="P153" s="37">
        <f>IF(H153&lt;32,Calculations!$F$5*Radiators!F153,IF(H153&lt;56,Calculations!$F$6*Radiators!F153,Calculations!$F$7*Radiators!F153))</f>
        <v>0</v>
      </c>
      <c r="Q153" s="37">
        <f t="shared" si="11"/>
        <v>0</v>
      </c>
    </row>
    <row r="154" spans="2:17">
      <c r="B154" s="33"/>
      <c r="C154" s="34"/>
      <c r="D154" s="34"/>
      <c r="E154" s="34"/>
      <c r="F154" s="34"/>
      <c r="G154" s="34"/>
      <c r="H154" s="34">
        <f>IFERROR(IF(B154="Column",INDEX(RadCompList!$C$4:$G$13,MATCH(C154,RadCompList!$B$4:$B$13),MATCH(Radiators!D154,RadCompList!$C$3:$G$3)),IF(B154="Tube",INDEX(RadCompList!$C$16:$I$22,MATCH(C154,RadCompList!$B$16:$B$22),MATCH(Radiators!D154,RadCompList!$C$15:$I$15)),IF(B154="Cast Rad/Conv",INDEX(RadCompList!$C$28:$D$28,MATCH(C154,RadCompList!$B$28),MATCH(Radiators!D154,RadCompList!$C$27:$D$27)),IF(B154="Copper Cabinet",(INDEX(RadCompList!$E$39:$J$78,MATCH(Radiators!D154,RadCompList!$D$39:$D$78,0),MATCH(C154,RadCompList!$E$38:$J$38,0))),0))))*E154,0)*$A$2</f>
        <v>0</v>
      </c>
      <c r="I154" s="34">
        <f t="shared" si="9"/>
        <v>0</v>
      </c>
      <c r="J154" s="35">
        <f>IFERROR(VLOOKUP(G154,VentList!$A$1:$D$198,2,FALSE),0)</f>
        <v>0</v>
      </c>
      <c r="K154" s="26">
        <f>IFERROR(VLOOKUP(B154,RadCompList!$P$3:$Q$6,2,FALSE)*H154,0)</f>
        <v>0</v>
      </c>
      <c r="L154" s="26" t="str">
        <f t="shared" si="12"/>
        <v>3/4</v>
      </c>
      <c r="M154" s="37">
        <f>Main!$G$8-0.0001306*N154^2 * F154*(1+3.6/VLOOKUP(L154,Calculations!$B$4:$F$15,2,FALSE))/(3600*Main!$C$7*VLOOKUP(L154,Calculations!$B$4:$F$15,2,FALSE)^5)</f>
        <v>0.14820436411902377</v>
      </c>
      <c r="N154" s="37">
        <f t="shared" si="10"/>
        <v>0</v>
      </c>
      <c r="O154" s="37">
        <f>IF(H154&lt;32,SteamProperties!$F$24*Radiators!F154,IF(H154&lt;56,SteamProperties!$F$25*Radiators!F154,SteamProperties!$F$26*Radiators!F154))</f>
        <v>0</v>
      </c>
      <c r="P154" s="37">
        <f>IF(H154&lt;32,Calculations!$F$5*Radiators!F154,IF(H154&lt;56,Calculations!$F$6*Radiators!F154,Calculations!$F$7*Radiators!F154))</f>
        <v>0</v>
      </c>
      <c r="Q154" s="37">
        <f t="shared" si="11"/>
        <v>0</v>
      </c>
    </row>
    <row r="155" spans="2:17">
      <c r="B155" s="33"/>
      <c r="C155" s="34"/>
      <c r="D155" s="34"/>
      <c r="E155" s="34"/>
      <c r="F155" s="34"/>
      <c r="G155" s="34"/>
      <c r="H155" s="34">
        <f>IFERROR(IF(B155="Column",INDEX(RadCompList!$C$4:$G$13,MATCH(C155,RadCompList!$B$4:$B$13),MATCH(Radiators!D155,RadCompList!$C$3:$G$3)),IF(B155="Tube",INDEX(RadCompList!$C$16:$I$22,MATCH(C155,RadCompList!$B$16:$B$22),MATCH(Radiators!D155,RadCompList!$C$15:$I$15)),IF(B155="Cast Rad/Conv",INDEX(RadCompList!$C$28:$D$28,MATCH(C155,RadCompList!$B$28),MATCH(Radiators!D155,RadCompList!$C$27:$D$27)),IF(B155="Copper Cabinet",(INDEX(RadCompList!$E$39:$J$78,MATCH(Radiators!D155,RadCompList!$D$39:$D$78,0),MATCH(C155,RadCompList!$E$38:$J$38,0))),0))))*E155,0)*$A$2</f>
        <v>0</v>
      </c>
      <c r="I155" s="34">
        <f t="shared" si="9"/>
        <v>0</v>
      </c>
      <c r="J155" s="35">
        <f>IFERROR(VLOOKUP(G155,VentList!$A$1:$D$198,2,FALSE),0)</f>
        <v>0</v>
      </c>
      <c r="K155" s="26">
        <f>IFERROR(VLOOKUP(B155,RadCompList!$P$3:$Q$6,2,FALSE)*H155,0)</f>
        <v>0</v>
      </c>
      <c r="L155" s="26" t="str">
        <f t="shared" si="12"/>
        <v>3/4</v>
      </c>
      <c r="M155" s="37">
        <f>Main!$G$8-0.0001306*N155^2 * F155*(1+3.6/VLOOKUP(L155,Calculations!$B$4:$F$15,2,FALSE))/(3600*Main!$C$7*VLOOKUP(L155,Calculations!$B$4:$F$15,2,FALSE)^5)</f>
        <v>0.14820436411902377</v>
      </c>
      <c r="N155" s="37">
        <f t="shared" si="10"/>
        <v>0</v>
      </c>
      <c r="O155" s="37">
        <f>IF(H155&lt;32,SteamProperties!$F$24*Radiators!F155,IF(H155&lt;56,SteamProperties!$F$25*Radiators!F155,SteamProperties!$F$26*Radiators!F155))</f>
        <v>0</v>
      </c>
      <c r="P155" s="37">
        <f>IF(H155&lt;32,Calculations!$F$5*Radiators!F155,IF(H155&lt;56,Calculations!$F$6*Radiators!F155,Calculations!$F$7*Radiators!F155))</f>
        <v>0</v>
      </c>
      <c r="Q155" s="37">
        <f t="shared" si="11"/>
        <v>0</v>
      </c>
    </row>
    <row r="156" spans="2:17">
      <c r="B156" s="33"/>
      <c r="C156" s="34"/>
      <c r="D156" s="34"/>
      <c r="E156" s="34"/>
      <c r="F156" s="34"/>
      <c r="G156" s="34"/>
      <c r="H156" s="34">
        <f>IFERROR(IF(B156="Column",INDEX(RadCompList!$C$4:$G$13,MATCH(C156,RadCompList!$B$4:$B$13),MATCH(Radiators!D156,RadCompList!$C$3:$G$3)),IF(B156="Tube",INDEX(RadCompList!$C$16:$I$22,MATCH(C156,RadCompList!$B$16:$B$22),MATCH(Radiators!D156,RadCompList!$C$15:$I$15)),IF(B156="Cast Rad/Conv",INDEX(RadCompList!$C$28:$D$28,MATCH(C156,RadCompList!$B$28),MATCH(Radiators!D156,RadCompList!$C$27:$D$27)),IF(B156="Copper Cabinet",(INDEX(RadCompList!$E$39:$J$78,MATCH(Radiators!D156,RadCompList!$D$39:$D$78,0),MATCH(C156,RadCompList!$E$38:$J$38,0))),0))))*E156,0)*$A$2</f>
        <v>0</v>
      </c>
      <c r="I156" s="34">
        <f t="shared" si="9"/>
        <v>0</v>
      </c>
      <c r="J156" s="35">
        <f>IFERROR(VLOOKUP(G156,VentList!$A$1:$D$198,2,FALSE),0)</f>
        <v>0</v>
      </c>
      <c r="K156" s="26">
        <f>IFERROR(VLOOKUP(B156,RadCompList!$P$3:$Q$6,2,FALSE)*H156,0)</f>
        <v>0</v>
      </c>
      <c r="L156" s="26" t="str">
        <f t="shared" si="12"/>
        <v>3/4</v>
      </c>
      <c r="M156" s="37">
        <f>Main!$G$8-0.0001306*N156^2 * F156*(1+3.6/VLOOKUP(L156,Calculations!$B$4:$F$15,2,FALSE))/(3600*Main!$C$7*VLOOKUP(L156,Calculations!$B$4:$F$15,2,FALSE)^5)</f>
        <v>0.14820436411902377</v>
      </c>
      <c r="N156" s="37">
        <f t="shared" si="10"/>
        <v>0</v>
      </c>
      <c r="O156" s="37">
        <f>IF(H156&lt;32,SteamProperties!$F$24*Radiators!F156,IF(H156&lt;56,SteamProperties!$F$25*Radiators!F156,SteamProperties!$F$26*Radiators!F156))</f>
        <v>0</v>
      </c>
      <c r="P156" s="37">
        <f>IF(H156&lt;32,Calculations!$F$5*Radiators!F156,IF(H156&lt;56,Calculations!$F$6*Radiators!F156,Calculations!$F$7*Radiators!F156))</f>
        <v>0</v>
      </c>
      <c r="Q156" s="37">
        <f t="shared" si="11"/>
        <v>0</v>
      </c>
    </row>
    <row r="157" spans="2:17">
      <c r="B157" s="33"/>
      <c r="C157" s="34"/>
      <c r="D157" s="34"/>
      <c r="E157" s="34"/>
      <c r="F157" s="34"/>
      <c r="G157" s="34"/>
      <c r="H157" s="34">
        <f>IFERROR(IF(B157="Column",INDEX(RadCompList!$C$4:$G$13,MATCH(C157,RadCompList!$B$4:$B$13),MATCH(Radiators!D157,RadCompList!$C$3:$G$3)),IF(B157="Tube",INDEX(RadCompList!$C$16:$I$22,MATCH(C157,RadCompList!$B$16:$B$22),MATCH(Radiators!D157,RadCompList!$C$15:$I$15)),IF(B157="Cast Rad/Conv",INDEX(RadCompList!$C$28:$D$28,MATCH(C157,RadCompList!$B$28),MATCH(Radiators!D157,RadCompList!$C$27:$D$27)),IF(B157="Copper Cabinet",(INDEX(RadCompList!$E$39:$J$78,MATCH(Radiators!D157,RadCompList!$D$39:$D$78,0),MATCH(C157,RadCompList!$E$38:$J$38,0))),0))))*E157,0)*$A$2</f>
        <v>0</v>
      </c>
      <c r="I157" s="34">
        <f t="shared" si="9"/>
        <v>0</v>
      </c>
      <c r="J157" s="35">
        <f>IFERROR(VLOOKUP(G157,VentList!$A$1:$D$198,2,FALSE),0)</f>
        <v>0</v>
      </c>
      <c r="K157" s="26">
        <f>IFERROR(VLOOKUP(B157,RadCompList!$P$3:$Q$6,2,FALSE)*H157,0)</f>
        <v>0</v>
      </c>
      <c r="L157" s="26" t="str">
        <f t="shared" si="12"/>
        <v>3/4</v>
      </c>
      <c r="M157" s="37">
        <f>Main!$G$8-0.0001306*N157^2 * F157*(1+3.6/VLOOKUP(L157,Calculations!$B$4:$F$15,2,FALSE))/(3600*Main!$C$7*VLOOKUP(L157,Calculations!$B$4:$F$15,2,FALSE)^5)</f>
        <v>0.14820436411902377</v>
      </c>
      <c r="N157" s="37">
        <f t="shared" si="10"/>
        <v>0</v>
      </c>
      <c r="O157" s="37">
        <f>IF(H157&lt;32,SteamProperties!$F$24*Radiators!F157,IF(H157&lt;56,SteamProperties!$F$25*Radiators!F157,SteamProperties!$F$26*Radiators!F157))</f>
        <v>0</v>
      </c>
      <c r="P157" s="37">
        <f>IF(H157&lt;32,Calculations!$F$5*Radiators!F157,IF(H157&lt;56,Calculations!$F$6*Radiators!F157,Calculations!$F$7*Radiators!F157))</f>
        <v>0</v>
      </c>
      <c r="Q157" s="37">
        <f t="shared" si="11"/>
        <v>0</v>
      </c>
    </row>
    <row r="158" spans="2:17">
      <c r="B158" s="33"/>
      <c r="C158" s="34"/>
      <c r="D158" s="34"/>
      <c r="E158" s="34"/>
      <c r="F158" s="34"/>
      <c r="G158" s="34"/>
      <c r="H158" s="34">
        <f>IFERROR(IF(B158="Column",INDEX(RadCompList!$C$4:$G$13,MATCH(C158,RadCompList!$B$4:$B$13),MATCH(Radiators!D158,RadCompList!$C$3:$G$3)),IF(B158="Tube",INDEX(RadCompList!$C$16:$I$22,MATCH(C158,RadCompList!$B$16:$B$22),MATCH(Radiators!D158,RadCompList!$C$15:$I$15)),IF(B158="Cast Rad/Conv",INDEX(RadCompList!$C$28:$D$28,MATCH(C158,RadCompList!$B$28),MATCH(Radiators!D158,RadCompList!$C$27:$D$27)),IF(B158="Copper Cabinet",(INDEX(RadCompList!$E$39:$J$78,MATCH(Radiators!D158,RadCompList!$D$39:$D$78,0),MATCH(C158,RadCompList!$E$38:$J$38,0))),0))))*E158,0)*$A$2</f>
        <v>0</v>
      </c>
      <c r="I158" s="34">
        <f t="shared" si="9"/>
        <v>0</v>
      </c>
      <c r="J158" s="35">
        <f>IFERROR(VLOOKUP(G158,VentList!$A$1:$D$198,2,FALSE),0)</f>
        <v>0</v>
      </c>
      <c r="K158" s="26">
        <f>IFERROR(VLOOKUP(B158,RadCompList!$P$3:$Q$6,2,FALSE)*H158,0)</f>
        <v>0</v>
      </c>
      <c r="L158" s="26" t="str">
        <f t="shared" si="12"/>
        <v>3/4</v>
      </c>
      <c r="M158" s="37">
        <f>Main!$G$8-0.0001306*N158^2 * F158*(1+3.6/VLOOKUP(L158,Calculations!$B$4:$F$15,2,FALSE))/(3600*Main!$C$7*VLOOKUP(L158,Calculations!$B$4:$F$15,2,FALSE)^5)</f>
        <v>0.14820436411902377</v>
      </c>
      <c r="N158" s="37">
        <f t="shared" si="10"/>
        <v>0</v>
      </c>
      <c r="O158" s="37">
        <f>IF(H158&lt;32,SteamProperties!$F$24*Radiators!F158,IF(H158&lt;56,SteamProperties!$F$25*Radiators!F158,SteamProperties!$F$26*Radiators!F158))</f>
        <v>0</v>
      </c>
      <c r="P158" s="37">
        <f>IF(H158&lt;32,Calculations!$F$5*Radiators!F158,IF(H158&lt;56,Calculations!$F$6*Radiators!F158,Calculations!$F$7*Radiators!F158))</f>
        <v>0</v>
      </c>
      <c r="Q158" s="37">
        <f t="shared" si="11"/>
        <v>0</v>
      </c>
    </row>
    <row r="159" spans="2:17">
      <c r="B159" s="33"/>
      <c r="C159" s="34"/>
      <c r="D159" s="34"/>
      <c r="E159" s="34"/>
      <c r="F159" s="34"/>
      <c r="G159" s="34"/>
      <c r="H159" s="34">
        <f>IFERROR(IF(B159="Column",INDEX(RadCompList!$C$4:$G$13,MATCH(C159,RadCompList!$B$4:$B$13),MATCH(Radiators!D159,RadCompList!$C$3:$G$3)),IF(B159="Tube",INDEX(RadCompList!$C$16:$I$22,MATCH(C159,RadCompList!$B$16:$B$22),MATCH(Radiators!D159,RadCompList!$C$15:$I$15)),IF(B159="Cast Rad/Conv",INDEX(RadCompList!$C$28:$D$28,MATCH(C159,RadCompList!$B$28),MATCH(Radiators!D159,RadCompList!$C$27:$D$27)),IF(B159="Copper Cabinet",(INDEX(RadCompList!$E$39:$J$78,MATCH(Radiators!D159,RadCompList!$D$39:$D$78,0),MATCH(C159,RadCompList!$E$38:$J$38,0))),0))))*E159,0)*$A$2</f>
        <v>0</v>
      </c>
      <c r="I159" s="34">
        <f t="shared" si="9"/>
        <v>0</v>
      </c>
      <c r="J159" s="35">
        <f>IFERROR(VLOOKUP(G159,VentList!$A$1:$D$198,2,FALSE),0)</f>
        <v>0</v>
      </c>
      <c r="K159" s="26">
        <f>IFERROR(VLOOKUP(B159,RadCompList!$P$3:$Q$6,2,FALSE)*H159,0)</f>
        <v>0</v>
      </c>
      <c r="L159" s="26" t="str">
        <f t="shared" si="12"/>
        <v>3/4</v>
      </c>
      <c r="M159" s="37">
        <f>Main!$G$8-0.0001306*N159^2 * F159*(1+3.6/VLOOKUP(L159,Calculations!$B$4:$F$15,2,FALSE))/(3600*Main!$C$7*VLOOKUP(L159,Calculations!$B$4:$F$15,2,FALSE)^5)</f>
        <v>0.14820436411902377</v>
      </c>
      <c r="N159" s="37">
        <f t="shared" si="10"/>
        <v>0</v>
      </c>
      <c r="O159" s="37">
        <f>IF(H159&lt;32,SteamProperties!$F$24*Radiators!F159,IF(H159&lt;56,SteamProperties!$F$25*Radiators!F159,SteamProperties!$F$26*Radiators!F159))</f>
        <v>0</v>
      </c>
      <c r="P159" s="37">
        <f>IF(H159&lt;32,Calculations!$F$5*Radiators!F159,IF(H159&lt;56,Calculations!$F$6*Radiators!F159,Calculations!$F$7*Radiators!F159))</f>
        <v>0</v>
      </c>
      <c r="Q159" s="37">
        <f t="shared" si="11"/>
        <v>0</v>
      </c>
    </row>
    <row r="160" spans="2:17">
      <c r="B160" s="33"/>
      <c r="C160" s="34"/>
      <c r="D160" s="34"/>
      <c r="E160" s="34"/>
      <c r="F160" s="34"/>
      <c r="G160" s="34"/>
      <c r="H160" s="34">
        <f>IFERROR(IF(B160="Column",INDEX(RadCompList!$C$4:$G$13,MATCH(C160,RadCompList!$B$4:$B$13),MATCH(Radiators!D160,RadCompList!$C$3:$G$3)),IF(B160="Tube",INDEX(RadCompList!$C$16:$I$22,MATCH(C160,RadCompList!$B$16:$B$22),MATCH(Radiators!D160,RadCompList!$C$15:$I$15)),IF(B160="Cast Rad/Conv",INDEX(RadCompList!$C$28:$D$28,MATCH(C160,RadCompList!$B$28),MATCH(Radiators!D160,RadCompList!$C$27:$D$27)),IF(B160="Copper Cabinet",(INDEX(RadCompList!$E$39:$J$78,MATCH(Radiators!D160,RadCompList!$D$39:$D$78,0),MATCH(C160,RadCompList!$E$38:$J$38,0))),0))))*E160,0)*$A$2</f>
        <v>0</v>
      </c>
      <c r="I160" s="34">
        <f t="shared" si="9"/>
        <v>0</v>
      </c>
      <c r="J160" s="35">
        <f>IFERROR(VLOOKUP(G160,VentList!$A$1:$D$198,2,FALSE),0)</f>
        <v>0</v>
      </c>
      <c r="K160" s="26">
        <f>IFERROR(VLOOKUP(B160,RadCompList!$P$3:$Q$6,2,FALSE)*H160,0)</f>
        <v>0</v>
      </c>
      <c r="L160" s="26" t="str">
        <f t="shared" si="12"/>
        <v>3/4</v>
      </c>
      <c r="M160" s="37">
        <f>Main!$G$8-0.0001306*N160^2 * F160*(1+3.6/VLOOKUP(L160,Calculations!$B$4:$F$15,2,FALSE))/(3600*Main!$C$7*VLOOKUP(L160,Calculations!$B$4:$F$15,2,FALSE)^5)</f>
        <v>0.14820436411902377</v>
      </c>
      <c r="N160" s="37">
        <f t="shared" si="10"/>
        <v>0</v>
      </c>
      <c r="O160" s="37">
        <f>IF(H160&lt;32,SteamProperties!$F$24*Radiators!F160,IF(H160&lt;56,SteamProperties!$F$25*Radiators!F160,SteamProperties!$F$26*Radiators!F160))</f>
        <v>0</v>
      </c>
      <c r="P160" s="37">
        <f>IF(H160&lt;32,Calculations!$F$5*Radiators!F160,IF(H160&lt;56,Calculations!$F$6*Radiators!F160,Calculations!$F$7*Radiators!F160))</f>
        <v>0</v>
      </c>
      <c r="Q160" s="37">
        <f t="shared" si="11"/>
        <v>0</v>
      </c>
    </row>
    <row r="161" spans="2:17">
      <c r="B161" s="33"/>
      <c r="C161" s="34"/>
      <c r="D161" s="34"/>
      <c r="E161" s="34"/>
      <c r="F161" s="34"/>
      <c r="G161" s="34"/>
      <c r="H161" s="34">
        <f>IFERROR(IF(B161="Column",INDEX(RadCompList!$C$4:$G$13,MATCH(C161,RadCompList!$B$4:$B$13),MATCH(Radiators!D161,RadCompList!$C$3:$G$3)),IF(B161="Tube",INDEX(RadCompList!$C$16:$I$22,MATCH(C161,RadCompList!$B$16:$B$22),MATCH(Radiators!D161,RadCompList!$C$15:$I$15)),IF(B161="Cast Rad/Conv",INDEX(RadCompList!$C$28:$D$28,MATCH(C161,RadCompList!$B$28),MATCH(Radiators!D161,RadCompList!$C$27:$D$27)),IF(B161="Copper Cabinet",(INDEX(RadCompList!$E$39:$J$78,MATCH(Radiators!D161,RadCompList!$D$39:$D$78,0),MATCH(C161,RadCompList!$E$38:$J$38,0))),0))))*E161,0)*$A$2</f>
        <v>0</v>
      </c>
      <c r="I161" s="34">
        <f t="shared" si="9"/>
        <v>0</v>
      </c>
      <c r="J161" s="35">
        <f>IFERROR(VLOOKUP(G161,VentList!$A$1:$D$198,2,FALSE),0)</f>
        <v>0</v>
      </c>
      <c r="K161" s="26">
        <f>IFERROR(VLOOKUP(B161,RadCompList!$P$3:$Q$6,2,FALSE)*H161,0)</f>
        <v>0</v>
      </c>
      <c r="L161" s="26" t="str">
        <f t="shared" si="12"/>
        <v>3/4</v>
      </c>
      <c r="M161" s="37">
        <f>Main!$G$8-0.0001306*N161^2 * F161*(1+3.6/VLOOKUP(L161,Calculations!$B$4:$F$15,2,FALSE))/(3600*Main!$C$7*VLOOKUP(L161,Calculations!$B$4:$F$15,2,FALSE)^5)</f>
        <v>0.14820436411902377</v>
      </c>
      <c r="N161" s="37">
        <f t="shared" si="10"/>
        <v>0</v>
      </c>
      <c r="O161" s="37">
        <f>IF(H161&lt;32,SteamProperties!$F$24*Radiators!F161,IF(H161&lt;56,SteamProperties!$F$25*Radiators!F161,SteamProperties!$F$26*Radiators!F161))</f>
        <v>0</v>
      </c>
      <c r="P161" s="37">
        <f>IF(H161&lt;32,Calculations!$F$5*Radiators!F161,IF(H161&lt;56,Calculations!$F$6*Radiators!F161,Calculations!$F$7*Radiators!F161))</f>
        <v>0</v>
      </c>
      <c r="Q161" s="37">
        <f t="shared" si="11"/>
        <v>0</v>
      </c>
    </row>
    <row r="162" spans="2:17">
      <c r="B162" s="33"/>
      <c r="C162" s="34"/>
      <c r="D162" s="34"/>
      <c r="E162" s="34"/>
      <c r="F162" s="34"/>
      <c r="G162" s="34"/>
      <c r="H162" s="34">
        <f>IFERROR(IF(B162="Column",INDEX(RadCompList!$C$4:$G$13,MATCH(C162,RadCompList!$B$4:$B$13),MATCH(Radiators!D162,RadCompList!$C$3:$G$3)),IF(B162="Tube",INDEX(RadCompList!$C$16:$I$22,MATCH(C162,RadCompList!$B$16:$B$22),MATCH(Radiators!D162,RadCompList!$C$15:$I$15)),IF(B162="Cast Rad/Conv",INDEX(RadCompList!$C$28:$D$28,MATCH(C162,RadCompList!$B$28),MATCH(Radiators!D162,RadCompList!$C$27:$D$27)),IF(B162="Copper Cabinet",(INDEX(RadCompList!$E$39:$J$78,MATCH(Radiators!D162,RadCompList!$D$39:$D$78,0),MATCH(C162,RadCompList!$E$38:$J$38,0))),0))))*E162,0)*$A$2</f>
        <v>0</v>
      </c>
      <c r="I162" s="34">
        <f t="shared" si="9"/>
        <v>0</v>
      </c>
      <c r="J162" s="35">
        <f>IFERROR(VLOOKUP(G162,VentList!$A$1:$D$198,2,FALSE),0)</f>
        <v>0</v>
      </c>
      <c r="K162" s="26">
        <f>IFERROR(VLOOKUP(B162,RadCompList!$P$3:$Q$6,2,FALSE)*H162,0)</f>
        <v>0</v>
      </c>
      <c r="L162" s="26" t="str">
        <f t="shared" si="12"/>
        <v>3/4</v>
      </c>
      <c r="M162" s="37">
        <f>Main!$G$8-0.0001306*N162^2 * F162*(1+3.6/VLOOKUP(L162,Calculations!$B$4:$F$15,2,FALSE))/(3600*Main!$C$7*VLOOKUP(L162,Calculations!$B$4:$F$15,2,FALSE)^5)</f>
        <v>0.14820436411902377</v>
      </c>
      <c r="N162" s="37">
        <f t="shared" si="10"/>
        <v>0</v>
      </c>
      <c r="O162" s="37">
        <f>IF(H162&lt;32,SteamProperties!$F$24*Radiators!F162,IF(H162&lt;56,SteamProperties!$F$25*Radiators!F162,SteamProperties!$F$26*Radiators!F162))</f>
        <v>0</v>
      </c>
      <c r="P162" s="37">
        <f>IF(H162&lt;32,Calculations!$F$5*Radiators!F162,IF(H162&lt;56,Calculations!$F$6*Radiators!F162,Calculations!$F$7*Radiators!F162))</f>
        <v>0</v>
      </c>
      <c r="Q162" s="37">
        <f t="shared" si="11"/>
        <v>0</v>
      </c>
    </row>
    <row r="163" spans="2:17">
      <c r="B163" s="33"/>
      <c r="C163" s="34"/>
      <c r="D163" s="34"/>
      <c r="E163" s="34"/>
      <c r="F163" s="34"/>
      <c r="G163" s="34"/>
      <c r="H163" s="34">
        <f>IFERROR(IF(B163="Column",INDEX(RadCompList!$C$4:$G$13,MATCH(C163,RadCompList!$B$4:$B$13),MATCH(Radiators!D163,RadCompList!$C$3:$G$3)),IF(B163="Tube",INDEX(RadCompList!$C$16:$I$22,MATCH(C163,RadCompList!$B$16:$B$22),MATCH(Radiators!D163,RadCompList!$C$15:$I$15)),IF(B163="Cast Rad/Conv",INDEX(RadCompList!$C$28:$D$28,MATCH(C163,RadCompList!$B$28),MATCH(Radiators!D163,RadCompList!$C$27:$D$27)),IF(B163="Copper Cabinet",(INDEX(RadCompList!$E$39:$J$78,MATCH(Radiators!D163,RadCompList!$D$39:$D$78,0),MATCH(C163,RadCompList!$E$38:$J$38,0))),0))))*E163,0)*$A$2</f>
        <v>0</v>
      </c>
      <c r="I163" s="34">
        <f t="shared" si="9"/>
        <v>0</v>
      </c>
      <c r="J163" s="35">
        <f>IFERROR(VLOOKUP(G163,VentList!$A$1:$D$198,2,FALSE),0)</f>
        <v>0</v>
      </c>
      <c r="K163" s="26">
        <f>IFERROR(VLOOKUP(B163,RadCompList!$P$3:$Q$6,2,FALSE)*H163,0)</f>
        <v>0</v>
      </c>
      <c r="L163" s="26" t="str">
        <f t="shared" si="12"/>
        <v>3/4</v>
      </c>
      <c r="M163" s="37">
        <f>Main!$G$8-0.0001306*N163^2 * F163*(1+3.6/VLOOKUP(L163,Calculations!$B$4:$F$15,2,FALSE))/(3600*Main!$C$7*VLOOKUP(L163,Calculations!$B$4:$F$15,2,FALSE)^5)</f>
        <v>0.14820436411902377</v>
      </c>
      <c r="N163" s="37">
        <f t="shared" si="10"/>
        <v>0</v>
      </c>
      <c r="O163" s="37">
        <f>IF(H163&lt;32,SteamProperties!$F$24*Radiators!F163,IF(H163&lt;56,SteamProperties!$F$25*Radiators!F163,SteamProperties!$F$26*Radiators!F163))</f>
        <v>0</v>
      </c>
      <c r="P163" s="37">
        <f>IF(H163&lt;32,Calculations!$F$5*Radiators!F163,IF(H163&lt;56,Calculations!$F$6*Radiators!F163,Calculations!$F$7*Radiators!F163))</f>
        <v>0</v>
      </c>
      <c r="Q163" s="37">
        <f t="shared" si="11"/>
        <v>0</v>
      </c>
    </row>
    <row r="164" spans="2:17">
      <c r="B164" s="33"/>
      <c r="C164" s="34"/>
      <c r="D164" s="34"/>
      <c r="E164" s="34"/>
      <c r="F164" s="34"/>
      <c r="G164" s="34"/>
      <c r="H164" s="34">
        <f>IFERROR(IF(B164="Column",INDEX(RadCompList!$C$4:$G$13,MATCH(C164,RadCompList!$B$4:$B$13),MATCH(Radiators!D164,RadCompList!$C$3:$G$3)),IF(B164="Tube",INDEX(RadCompList!$C$16:$I$22,MATCH(C164,RadCompList!$B$16:$B$22),MATCH(Radiators!D164,RadCompList!$C$15:$I$15)),IF(B164="Cast Rad/Conv",INDEX(RadCompList!$C$28:$D$28,MATCH(C164,RadCompList!$B$28),MATCH(Radiators!D164,RadCompList!$C$27:$D$27)),IF(B164="Copper Cabinet",(INDEX(RadCompList!$E$39:$J$78,MATCH(Radiators!D164,RadCompList!$D$39:$D$78,0),MATCH(C164,RadCompList!$E$38:$J$38,0))),0))))*E164,0)*$A$2</f>
        <v>0</v>
      </c>
      <c r="I164" s="34">
        <f t="shared" si="9"/>
        <v>0</v>
      </c>
      <c r="J164" s="35">
        <f>IFERROR(VLOOKUP(G164,VentList!$A$1:$D$198,2,FALSE),0)</f>
        <v>0</v>
      </c>
      <c r="K164" s="26">
        <f>IFERROR(VLOOKUP(B164,RadCompList!$P$3:$Q$6,2,FALSE)*H164,0)</f>
        <v>0</v>
      </c>
      <c r="L164" s="26" t="str">
        <f t="shared" si="12"/>
        <v>3/4</v>
      </c>
      <c r="M164" s="37">
        <f>Main!$G$8-0.0001306*N164^2 * F164*(1+3.6/VLOOKUP(L164,Calculations!$B$4:$F$15,2,FALSE))/(3600*Main!$C$7*VLOOKUP(L164,Calculations!$B$4:$F$15,2,FALSE)^5)</f>
        <v>0.14820436411902377</v>
      </c>
      <c r="N164" s="37">
        <f t="shared" si="10"/>
        <v>0</v>
      </c>
      <c r="O164" s="37">
        <f>IF(H164&lt;32,SteamProperties!$F$24*Radiators!F164,IF(H164&lt;56,SteamProperties!$F$25*Radiators!F164,SteamProperties!$F$26*Radiators!F164))</f>
        <v>0</v>
      </c>
      <c r="P164" s="37">
        <f>IF(H164&lt;32,Calculations!$F$5*Radiators!F164,IF(H164&lt;56,Calculations!$F$6*Radiators!F164,Calculations!$F$7*Radiators!F164))</f>
        <v>0</v>
      </c>
      <c r="Q164" s="37">
        <f t="shared" si="11"/>
        <v>0</v>
      </c>
    </row>
    <row r="165" spans="2:17">
      <c r="B165" s="33"/>
      <c r="C165" s="34"/>
      <c r="D165" s="34"/>
      <c r="E165" s="34"/>
      <c r="F165" s="34"/>
      <c r="G165" s="34"/>
      <c r="H165" s="34">
        <f>IFERROR(IF(B165="Column",INDEX(RadCompList!$C$4:$G$13,MATCH(C165,RadCompList!$B$4:$B$13),MATCH(Radiators!D165,RadCompList!$C$3:$G$3)),IF(B165="Tube",INDEX(RadCompList!$C$16:$I$22,MATCH(C165,RadCompList!$B$16:$B$22),MATCH(Radiators!D165,RadCompList!$C$15:$I$15)),IF(B165="Cast Rad/Conv",INDEX(RadCompList!$C$28:$D$28,MATCH(C165,RadCompList!$B$28),MATCH(Radiators!D165,RadCompList!$C$27:$D$27)),IF(B165="Copper Cabinet",(INDEX(RadCompList!$E$39:$J$78,MATCH(Radiators!D165,RadCompList!$D$39:$D$78,0),MATCH(C165,RadCompList!$E$38:$J$38,0))),0))))*E165,0)*$A$2</f>
        <v>0</v>
      </c>
      <c r="I165" s="34">
        <f t="shared" si="9"/>
        <v>0</v>
      </c>
      <c r="J165" s="35">
        <f>IFERROR(VLOOKUP(G165,VentList!$A$1:$D$198,2,FALSE),0)</f>
        <v>0</v>
      </c>
      <c r="K165" s="26">
        <f>IFERROR(VLOOKUP(B165,RadCompList!$P$3:$Q$6,2,FALSE)*H165,0)</f>
        <v>0</v>
      </c>
      <c r="L165" s="26" t="str">
        <f t="shared" si="12"/>
        <v>3/4</v>
      </c>
      <c r="M165" s="37">
        <f>Main!$G$8-0.0001306*N165^2 * F165*(1+3.6/VLOOKUP(L165,Calculations!$B$4:$F$15,2,FALSE))/(3600*Main!$C$7*VLOOKUP(L165,Calculations!$B$4:$F$15,2,FALSE)^5)</f>
        <v>0.14820436411902377</v>
      </c>
      <c r="N165" s="37">
        <f t="shared" si="10"/>
        <v>0</v>
      </c>
      <c r="O165" s="37">
        <f>IF(H165&lt;32,SteamProperties!$F$24*Radiators!F165,IF(H165&lt;56,SteamProperties!$F$25*Radiators!F165,SteamProperties!$F$26*Radiators!F165))</f>
        <v>0</v>
      </c>
      <c r="P165" s="37">
        <f>IF(H165&lt;32,Calculations!$F$5*Radiators!F165,IF(H165&lt;56,Calculations!$F$6*Radiators!F165,Calculations!$F$7*Radiators!F165))</f>
        <v>0</v>
      </c>
      <c r="Q165" s="37">
        <f t="shared" si="11"/>
        <v>0</v>
      </c>
    </row>
    <row r="166" spans="2:17">
      <c r="B166" s="33"/>
      <c r="C166" s="34"/>
      <c r="D166" s="34"/>
      <c r="E166" s="34"/>
      <c r="F166" s="34"/>
      <c r="G166" s="34"/>
      <c r="H166" s="34">
        <f>IFERROR(IF(B166="Column",INDEX(RadCompList!$C$4:$G$13,MATCH(C166,RadCompList!$B$4:$B$13),MATCH(Radiators!D166,RadCompList!$C$3:$G$3)),IF(B166="Tube",INDEX(RadCompList!$C$16:$I$22,MATCH(C166,RadCompList!$B$16:$B$22),MATCH(Radiators!D166,RadCompList!$C$15:$I$15)),IF(B166="Cast Rad/Conv",INDEX(RadCompList!$C$28:$D$28,MATCH(C166,RadCompList!$B$28),MATCH(Radiators!D166,RadCompList!$C$27:$D$27)),IF(B166="Copper Cabinet",(INDEX(RadCompList!$E$39:$J$78,MATCH(Radiators!D166,RadCompList!$D$39:$D$78,0),MATCH(C166,RadCompList!$E$38:$J$38,0))),0))))*E166,0)*$A$2</f>
        <v>0</v>
      </c>
      <c r="I166" s="34">
        <f t="shared" si="9"/>
        <v>0</v>
      </c>
      <c r="J166" s="35">
        <f>IFERROR(VLOOKUP(G166,VentList!$A$1:$D$198,2,FALSE),0)</f>
        <v>0</v>
      </c>
      <c r="K166" s="26">
        <f>IFERROR(VLOOKUP(B166,RadCompList!$P$3:$Q$6,2,FALSE)*H166,0)</f>
        <v>0</v>
      </c>
      <c r="L166" s="26" t="str">
        <f t="shared" si="12"/>
        <v>3/4</v>
      </c>
      <c r="M166" s="37">
        <f>Main!$G$8-0.0001306*N166^2 * F166*(1+3.6/VLOOKUP(L166,Calculations!$B$4:$F$15,2,FALSE))/(3600*Main!$C$7*VLOOKUP(L166,Calculations!$B$4:$F$15,2,FALSE)^5)</f>
        <v>0.14820436411902377</v>
      </c>
      <c r="N166" s="37">
        <f t="shared" si="10"/>
        <v>0</v>
      </c>
      <c r="O166" s="37">
        <f>IF(H166&lt;32,SteamProperties!$F$24*Radiators!F166,IF(H166&lt;56,SteamProperties!$F$25*Radiators!F166,SteamProperties!$F$26*Radiators!F166))</f>
        <v>0</v>
      </c>
      <c r="P166" s="37">
        <f>IF(H166&lt;32,Calculations!$F$5*Radiators!F166,IF(H166&lt;56,Calculations!$F$6*Radiators!F166,Calculations!$F$7*Radiators!F166))</f>
        <v>0</v>
      </c>
      <c r="Q166" s="37">
        <f t="shared" si="11"/>
        <v>0</v>
      </c>
    </row>
    <row r="167" spans="2:17">
      <c r="B167" s="33"/>
      <c r="C167" s="34"/>
      <c r="D167" s="34"/>
      <c r="E167" s="34"/>
      <c r="F167" s="34"/>
      <c r="G167" s="34"/>
      <c r="H167" s="34">
        <f>IFERROR(IF(B167="Column",INDEX(RadCompList!$C$4:$G$13,MATCH(C167,RadCompList!$B$4:$B$13),MATCH(Radiators!D167,RadCompList!$C$3:$G$3)),IF(B167="Tube",INDEX(RadCompList!$C$16:$I$22,MATCH(C167,RadCompList!$B$16:$B$22),MATCH(Radiators!D167,RadCompList!$C$15:$I$15)),IF(B167="Cast Rad/Conv",INDEX(RadCompList!$C$28:$D$28,MATCH(C167,RadCompList!$B$28),MATCH(Radiators!D167,RadCompList!$C$27:$D$27)),IF(B167="Copper Cabinet",(INDEX(RadCompList!$E$39:$J$78,MATCH(Radiators!D167,RadCompList!$D$39:$D$78,0),MATCH(C167,RadCompList!$E$38:$J$38,0))),0))))*E167,0)*$A$2</f>
        <v>0</v>
      </c>
      <c r="I167" s="34">
        <f t="shared" si="9"/>
        <v>0</v>
      </c>
      <c r="J167" s="35">
        <f>IFERROR(VLOOKUP(G167,VentList!$A$1:$D$198,2,FALSE),0)</f>
        <v>0</v>
      </c>
      <c r="K167" s="26">
        <f>IFERROR(VLOOKUP(B167,RadCompList!$P$3:$Q$6,2,FALSE)*H167,0)</f>
        <v>0</v>
      </c>
      <c r="L167" s="26" t="str">
        <f t="shared" si="12"/>
        <v>3/4</v>
      </c>
      <c r="M167" s="37">
        <f>Main!$G$8-0.0001306*N167^2 * F167*(1+3.6/VLOOKUP(L167,Calculations!$B$4:$F$15,2,FALSE))/(3600*Main!$C$7*VLOOKUP(L167,Calculations!$B$4:$F$15,2,FALSE)^5)</f>
        <v>0.14820436411902377</v>
      </c>
      <c r="N167" s="37">
        <f t="shared" si="10"/>
        <v>0</v>
      </c>
      <c r="O167" s="37">
        <f>IF(H167&lt;32,SteamProperties!$F$24*Radiators!F167,IF(H167&lt;56,SteamProperties!$F$25*Radiators!F167,SteamProperties!$F$26*Radiators!F167))</f>
        <v>0</v>
      </c>
      <c r="P167" s="37">
        <f>IF(H167&lt;32,Calculations!$F$5*Radiators!F167,IF(H167&lt;56,Calculations!$F$6*Radiators!F167,Calculations!$F$7*Radiators!F167))</f>
        <v>0</v>
      </c>
      <c r="Q167" s="37">
        <f t="shared" si="11"/>
        <v>0</v>
      </c>
    </row>
    <row r="168" spans="2:17">
      <c r="B168" s="33"/>
      <c r="C168" s="34"/>
      <c r="D168" s="34"/>
      <c r="E168" s="34"/>
      <c r="F168" s="34"/>
      <c r="G168" s="34"/>
      <c r="H168" s="34">
        <f>IFERROR(IF(B168="Column",INDEX(RadCompList!$C$4:$G$13,MATCH(C168,RadCompList!$B$4:$B$13),MATCH(Radiators!D168,RadCompList!$C$3:$G$3)),IF(B168="Tube",INDEX(RadCompList!$C$16:$I$22,MATCH(C168,RadCompList!$B$16:$B$22),MATCH(Radiators!D168,RadCompList!$C$15:$I$15)),IF(B168="Cast Rad/Conv",INDEX(RadCompList!$C$28:$D$28,MATCH(C168,RadCompList!$B$28),MATCH(Radiators!D168,RadCompList!$C$27:$D$27)),IF(B168="Copper Cabinet",(INDEX(RadCompList!$E$39:$J$78,MATCH(Radiators!D168,RadCompList!$D$39:$D$78,0),MATCH(C168,RadCompList!$E$38:$J$38,0))),0))))*E168,0)*$A$2</f>
        <v>0</v>
      </c>
      <c r="I168" s="34">
        <f t="shared" si="9"/>
        <v>0</v>
      </c>
      <c r="J168" s="35">
        <f>IFERROR(VLOOKUP(G168,VentList!$A$1:$D$198,2,FALSE),0)</f>
        <v>0</v>
      </c>
      <c r="K168" s="26">
        <f>IFERROR(VLOOKUP(B168,RadCompList!$P$3:$Q$6,2,FALSE)*H168,0)</f>
        <v>0</v>
      </c>
      <c r="L168" s="26" t="str">
        <f t="shared" si="12"/>
        <v>3/4</v>
      </c>
      <c r="M168" s="37">
        <f>Main!$G$8-0.0001306*N168^2 * F168*(1+3.6/VLOOKUP(L168,Calculations!$B$4:$F$15,2,FALSE))/(3600*Main!$C$7*VLOOKUP(L168,Calculations!$B$4:$F$15,2,FALSE)^5)</f>
        <v>0.14820436411902377</v>
      </c>
      <c r="N168" s="37">
        <f t="shared" si="10"/>
        <v>0</v>
      </c>
      <c r="O168" s="37">
        <f>IF(H168&lt;32,SteamProperties!$F$24*Radiators!F168,IF(H168&lt;56,SteamProperties!$F$25*Radiators!F168,SteamProperties!$F$26*Radiators!F168))</f>
        <v>0</v>
      </c>
      <c r="P168" s="37">
        <f>IF(H168&lt;32,Calculations!$F$5*Radiators!F168,IF(H168&lt;56,Calculations!$F$6*Radiators!F168,Calculations!$F$7*Radiators!F168))</f>
        <v>0</v>
      </c>
      <c r="Q168" s="37">
        <f t="shared" si="11"/>
        <v>0</v>
      </c>
    </row>
    <row r="169" spans="2:17">
      <c r="B169" s="33"/>
      <c r="C169" s="34"/>
      <c r="D169" s="34"/>
      <c r="E169" s="34"/>
      <c r="F169" s="34"/>
      <c r="G169" s="34"/>
      <c r="H169" s="34">
        <f>IFERROR(IF(B169="Column",INDEX(RadCompList!$C$4:$G$13,MATCH(C169,RadCompList!$B$4:$B$13),MATCH(Radiators!D169,RadCompList!$C$3:$G$3)),IF(B169="Tube",INDEX(RadCompList!$C$16:$I$22,MATCH(C169,RadCompList!$B$16:$B$22),MATCH(Radiators!D169,RadCompList!$C$15:$I$15)),IF(B169="Cast Rad/Conv",INDEX(RadCompList!$C$28:$D$28,MATCH(C169,RadCompList!$B$28),MATCH(Radiators!D169,RadCompList!$C$27:$D$27)),IF(B169="Copper Cabinet",(INDEX(RadCompList!$E$39:$J$78,MATCH(Radiators!D169,RadCompList!$D$39:$D$78,0),MATCH(C169,RadCompList!$E$38:$J$38,0))),0))))*E169,0)*$A$2</f>
        <v>0</v>
      </c>
      <c r="I169" s="34">
        <f t="shared" si="9"/>
        <v>0</v>
      </c>
      <c r="J169" s="35">
        <f>IFERROR(VLOOKUP(G169,VentList!$A$1:$D$198,2,FALSE),0)</f>
        <v>0</v>
      </c>
      <c r="K169" s="26">
        <f>IFERROR(VLOOKUP(B169,RadCompList!$P$3:$Q$6,2,FALSE)*H169,0)</f>
        <v>0</v>
      </c>
      <c r="L169" s="26" t="str">
        <f t="shared" si="12"/>
        <v>3/4</v>
      </c>
      <c r="M169" s="37">
        <f>Main!$G$8-0.0001306*N169^2 * F169*(1+3.6/VLOOKUP(L169,Calculations!$B$4:$F$15,2,FALSE))/(3600*Main!$C$7*VLOOKUP(L169,Calculations!$B$4:$F$15,2,FALSE)^5)</f>
        <v>0.14820436411902377</v>
      </c>
      <c r="N169" s="37">
        <f t="shared" si="10"/>
        <v>0</v>
      </c>
      <c r="O169" s="37">
        <f>IF(H169&lt;32,SteamProperties!$F$24*Radiators!F169,IF(H169&lt;56,SteamProperties!$F$25*Radiators!F169,SteamProperties!$F$26*Radiators!F169))</f>
        <v>0</v>
      </c>
      <c r="P169" s="37">
        <f>IF(H169&lt;32,Calculations!$F$5*Radiators!F169,IF(H169&lt;56,Calculations!$F$6*Radiators!F169,Calculations!$F$7*Radiators!F169))</f>
        <v>0</v>
      </c>
      <c r="Q169" s="37">
        <f t="shared" si="11"/>
        <v>0</v>
      </c>
    </row>
    <row r="170" spans="2:17">
      <c r="B170" s="33"/>
      <c r="C170" s="34"/>
      <c r="D170" s="34"/>
      <c r="E170" s="34"/>
      <c r="F170" s="34"/>
      <c r="G170" s="34"/>
      <c r="H170" s="34">
        <f>IFERROR(IF(B170="Column",INDEX(RadCompList!$C$4:$G$13,MATCH(C170,RadCompList!$B$4:$B$13),MATCH(Radiators!D170,RadCompList!$C$3:$G$3)),IF(B170="Tube",INDEX(RadCompList!$C$16:$I$22,MATCH(C170,RadCompList!$B$16:$B$22),MATCH(Radiators!D170,RadCompList!$C$15:$I$15)),IF(B170="Cast Rad/Conv",INDEX(RadCompList!$C$28:$D$28,MATCH(C170,RadCompList!$B$28),MATCH(Radiators!D170,RadCompList!$C$27:$D$27)),IF(B170="Copper Cabinet",(INDEX(RadCompList!$E$39:$J$78,MATCH(Radiators!D170,RadCompList!$D$39:$D$78,0),MATCH(C170,RadCompList!$E$38:$J$38,0))),0))))*E170,0)*$A$2</f>
        <v>0</v>
      </c>
      <c r="I170" s="34">
        <f t="shared" si="9"/>
        <v>0</v>
      </c>
      <c r="J170" s="35">
        <f>IFERROR(VLOOKUP(G170,VentList!$A$1:$D$198,2,FALSE),0)</f>
        <v>0</v>
      </c>
      <c r="K170" s="26">
        <f>IFERROR(VLOOKUP(B170,RadCompList!$P$3:$Q$6,2,FALSE)*H170,0)</f>
        <v>0</v>
      </c>
      <c r="L170" s="26" t="str">
        <f t="shared" si="12"/>
        <v>3/4</v>
      </c>
      <c r="M170" s="37">
        <f>Main!$G$8-0.0001306*N170^2 * F170*(1+3.6/VLOOKUP(L170,Calculations!$B$4:$F$15,2,FALSE))/(3600*Main!$C$7*VLOOKUP(L170,Calculations!$B$4:$F$15,2,FALSE)^5)</f>
        <v>0.14820436411902377</v>
      </c>
      <c r="N170" s="37">
        <f t="shared" si="10"/>
        <v>0</v>
      </c>
      <c r="O170" s="37">
        <f>IF(H170&lt;32,SteamProperties!$F$24*Radiators!F170,IF(H170&lt;56,SteamProperties!$F$25*Radiators!F170,SteamProperties!$F$26*Radiators!F170))</f>
        <v>0</v>
      </c>
      <c r="P170" s="37">
        <f>IF(H170&lt;32,Calculations!$F$5*Radiators!F170,IF(H170&lt;56,Calculations!$F$6*Radiators!F170,Calculations!$F$7*Radiators!F170))</f>
        <v>0</v>
      </c>
      <c r="Q170" s="37">
        <f t="shared" si="11"/>
        <v>0</v>
      </c>
    </row>
    <row r="171" spans="2:17">
      <c r="B171" s="33"/>
      <c r="C171" s="34"/>
      <c r="D171" s="34"/>
      <c r="E171" s="34"/>
      <c r="F171" s="34"/>
      <c r="G171" s="34"/>
      <c r="H171" s="34">
        <f>IFERROR(IF(B171="Column",INDEX(RadCompList!$C$4:$G$13,MATCH(C171,RadCompList!$B$4:$B$13),MATCH(Radiators!D171,RadCompList!$C$3:$G$3)),IF(B171="Tube",INDEX(RadCompList!$C$16:$I$22,MATCH(C171,RadCompList!$B$16:$B$22),MATCH(Radiators!D171,RadCompList!$C$15:$I$15)),IF(B171="Cast Rad/Conv",INDEX(RadCompList!$C$28:$D$28,MATCH(C171,RadCompList!$B$28),MATCH(Radiators!D171,RadCompList!$C$27:$D$27)),IF(B171="Copper Cabinet",(INDEX(RadCompList!$E$39:$J$78,MATCH(Radiators!D171,RadCompList!$D$39:$D$78,0),MATCH(C171,RadCompList!$E$38:$J$38,0))),0))))*E171,0)*$A$2</f>
        <v>0</v>
      </c>
      <c r="I171" s="34">
        <f t="shared" si="9"/>
        <v>0</v>
      </c>
      <c r="J171" s="35">
        <f>IFERROR(VLOOKUP(G171,VentList!$A$1:$D$198,2,FALSE),0)</f>
        <v>0</v>
      </c>
      <c r="K171" s="26">
        <f>IFERROR(VLOOKUP(B171,RadCompList!$P$3:$Q$6,2,FALSE)*H171,0)</f>
        <v>0</v>
      </c>
      <c r="L171" s="26" t="str">
        <f t="shared" si="12"/>
        <v>3/4</v>
      </c>
      <c r="M171" s="37">
        <f>Main!$G$8-0.0001306*N171^2 * F171*(1+3.6/VLOOKUP(L171,Calculations!$B$4:$F$15,2,FALSE))/(3600*Main!$C$7*VLOOKUP(L171,Calculations!$B$4:$F$15,2,FALSE)^5)</f>
        <v>0.14820436411902377</v>
      </c>
      <c r="N171" s="37">
        <f t="shared" si="10"/>
        <v>0</v>
      </c>
      <c r="O171" s="37">
        <f>IF(H171&lt;32,SteamProperties!$F$24*Radiators!F171,IF(H171&lt;56,SteamProperties!$F$25*Radiators!F171,SteamProperties!$F$26*Radiators!F171))</f>
        <v>0</v>
      </c>
      <c r="P171" s="37">
        <f>IF(H171&lt;32,Calculations!$F$5*Radiators!F171,IF(H171&lt;56,Calculations!$F$6*Radiators!F171,Calculations!$F$7*Radiators!F171))</f>
        <v>0</v>
      </c>
      <c r="Q171" s="37">
        <f t="shared" si="11"/>
        <v>0</v>
      </c>
    </row>
    <row r="172" spans="2:17">
      <c r="B172" s="33"/>
      <c r="C172" s="34"/>
      <c r="D172" s="34"/>
      <c r="E172" s="34"/>
      <c r="F172" s="34"/>
      <c r="G172" s="34"/>
      <c r="H172" s="34">
        <f>IFERROR(IF(B172="Column",INDEX(RadCompList!$C$4:$G$13,MATCH(C172,RadCompList!$B$4:$B$13),MATCH(Radiators!D172,RadCompList!$C$3:$G$3)),IF(B172="Tube",INDEX(RadCompList!$C$16:$I$22,MATCH(C172,RadCompList!$B$16:$B$22),MATCH(Radiators!D172,RadCompList!$C$15:$I$15)),IF(B172="Cast Rad/Conv",INDEX(RadCompList!$C$28:$D$28,MATCH(C172,RadCompList!$B$28),MATCH(Radiators!D172,RadCompList!$C$27:$D$27)),IF(B172="Copper Cabinet",(INDEX(RadCompList!$E$39:$J$78,MATCH(Radiators!D172,RadCompList!$D$39:$D$78,0),MATCH(C172,RadCompList!$E$38:$J$38,0))),0))))*E172,0)*$A$2</f>
        <v>0</v>
      </c>
      <c r="I172" s="34">
        <f t="shared" si="9"/>
        <v>0</v>
      </c>
      <c r="J172" s="35">
        <f>IFERROR(VLOOKUP(G172,VentList!$A$1:$D$198,2,FALSE),0)</f>
        <v>0</v>
      </c>
      <c r="K172" s="26">
        <f>IFERROR(VLOOKUP(B172,RadCompList!$P$3:$Q$6,2,FALSE)*H172,0)</f>
        <v>0</v>
      </c>
      <c r="L172" s="26" t="str">
        <f t="shared" si="12"/>
        <v>3/4</v>
      </c>
      <c r="M172" s="37">
        <f>Main!$G$8-0.0001306*N172^2 * F172*(1+3.6/VLOOKUP(L172,Calculations!$B$4:$F$15,2,FALSE))/(3600*Main!$C$7*VLOOKUP(L172,Calculations!$B$4:$F$15,2,FALSE)^5)</f>
        <v>0.14820436411902377</v>
      </c>
      <c r="N172" s="37">
        <f t="shared" si="10"/>
        <v>0</v>
      </c>
      <c r="O172" s="37">
        <f>IF(H172&lt;32,SteamProperties!$F$24*Radiators!F172,IF(H172&lt;56,SteamProperties!$F$25*Radiators!F172,SteamProperties!$F$26*Radiators!F172))</f>
        <v>0</v>
      </c>
      <c r="P172" s="37">
        <f>IF(H172&lt;32,Calculations!$F$5*Radiators!F172,IF(H172&lt;56,Calculations!$F$6*Radiators!F172,Calculations!$F$7*Radiators!F172))</f>
        <v>0</v>
      </c>
      <c r="Q172" s="37">
        <f t="shared" si="11"/>
        <v>0</v>
      </c>
    </row>
    <row r="173" spans="2:17">
      <c r="B173" s="33"/>
      <c r="C173" s="34"/>
      <c r="D173" s="34"/>
      <c r="E173" s="34"/>
      <c r="F173" s="34"/>
      <c r="G173" s="34"/>
      <c r="H173" s="34">
        <f>IFERROR(IF(B173="Column",INDEX(RadCompList!$C$4:$G$13,MATCH(C173,RadCompList!$B$4:$B$13),MATCH(Radiators!D173,RadCompList!$C$3:$G$3)),IF(B173="Tube",INDEX(RadCompList!$C$16:$I$22,MATCH(C173,RadCompList!$B$16:$B$22),MATCH(Radiators!D173,RadCompList!$C$15:$I$15)),IF(B173="Cast Rad/Conv",INDEX(RadCompList!$C$28:$D$28,MATCH(C173,RadCompList!$B$28),MATCH(Radiators!D173,RadCompList!$C$27:$D$27)),IF(B173="Copper Cabinet",(INDEX(RadCompList!$E$39:$J$78,MATCH(Radiators!D173,RadCompList!$D$39:$D$78,0),MATCH(C173,RadCompList!$E$38:$J$38,0))),0))))*E173,0)*$A$2</f>
        <v>0</v>
      </c>
      <c r="I173" s="34">
        <f t="shared" si="9"/>
        <v>0</v>
      </c>
      <c r="J173" s="35">
        <f>IFERROR(VLOOKUP(G173,VentList!$A$1:$D$198,2,FALSE),0)</f>
        <v>0</v>
      </c>
      <c r="K173" s="26">
        <f>IFERROR(VLOOKUP(B173,RadCompList!$P$3:$Q$6,2,FALSE)*H173,0)</f>
        <v>0</v>
      </c>
      <c r="L173" s="26" t="str">
        <f t="shared" si="12"/>
        <v>3/4</v>
      </c>
      <c r="M173" s="37">
        <f>Main!$G$8-0.0001306*N173^2 * F173*(1+3.6/VLOOKUP(L173,Calculations!$B$4:$F$15,2,FALSE))/(3600*Main!$C$7*VLOOKUP(L173,Calculations!$B$4:$F$15,2,FALSE)^5)</f>
        <v>0.14820436411902377</v>
      </c>
      <c r="N173" s="37">
        <f t="shared" si="10"/>
        <v>0</v>
      </c>
      <c r="O173" s="37">
        <f>IF(H173&lt;32,SteamProperties!$F$24*Radiators!F173,IF(H173&lt;56,SteamProperties!$F$25*Radiators!F173,SteamProperties!$F$26*Radiators!F173))</f>
        <v>0</v>
      </c>
      <c r="P173" s="37">
        <f>IF(H173&lt;32,Calculations!$F$5*Radiators!F173,IF(H173&lt;56,Calculations!$F$6*Radiators!F173,Calculations!$F$7*Radiators!F173))</f>
        <v>0</v>
      </c>
      <c r="Q173" s="37">
        <f t="shared" si="11"/>
        <v>0</v>
      </c>
    </row>
    <row r="174" spans="2:17">
      <c r="B174" s="33"/>
      <c r="C174" s="34"/>
      <c r="D174" s="34"/>
      <c r="E174" s="34"/>
      <c r="F174" s="34"/>
      <c r="G174" s="34"/>
      <c r="H174" s="34">
        <f>IFERROR(IF(B174="Column",INDEX(RadCompList!$C$4:$G$13,MATCH(C174,RadCompList!$B$4:$B$13),MATCH(Radiators!D174,RadCompList!$C$3:$G$3)),IF(B174="Tube",INDEX(RadCompList!$C$16:$I$22,MATCH(C174,RadCompList!$B$16:$B$22),MATCH(Radiators!D174,RadCompList!$C$15:$I$15)),IF(B174="Cast Rad/Conv",INDEX(RadCompList!$C$28:$D$28,MATCH(C174,RadCompList!$B$28),MATCH(Radiators!D174,RadCompList!$C$27:$D$27)),IF(B174="Copper Cabinet",(INDEX(RadCompList!$E$39:$J$78,MATCH(Radiators!D174,RadCompList!$D$39:$D$78,0),MATCH(C174,RadCompList!$E$38:$J$38,0))),0))))*E174,0)*$A$2</f>
        <v>0</v>
      </c>
      <c r="I174" s="34">
        <f t="shared" si="9"/>
        <v>0</v>
      </c>
      <c r="J174" s="35">
        <f>IFERROR(VLOOKUP(G174,VentList!$A$1:$D$198,2,FALSE),0)</f>
        <v>0</v>
      </c>
      <c r="K174" s="26">
        <f>IFERROR(VLOOKUP(B174,RadCompList!$P$3:$Q$6,2,FALSE)*H174,0)</f>
        <v>0</v>
      </c>
      <c r="L174" s="26" t="str">
        <f t="shared" si="12"/>
        <v>3/4</v>
      </c>
      <c r="M174" s="37">
        <f>Main!$G$8-0.0001306*N174^2 * F174*(1+3.6/VLOOKUP(L174,Calculations!$B$4:$F$15,2,FALSE))/(3600*Main!$C$7*VLOOKUP(L174,Calculations!$B$4:$F$15,2,FALSE)^5)</f>
        <v>0.14820436411902377</v>
      </c>
      <c r="N174" s="37">
        <f t="shared" si="10"/>
        <v>0</v>
      </c>
      <c r="O174" s="37">
        <f>IF(H174&lt;32,SteamProperties!$F$24*Radiators!F174,IF(H174&lt;56,SteamProperties!$F$25*Radiators!F174,SteamProperties!$F$26*Radiators!F174))</f>
        <v>0</v>
      </c>
      <c r="P174" s="37">
        <f>IF(H174&lt;32,Calculations!$F$5*Radiators!F174,IF(H174&lt;56,Calculations!$F$6*Radiators!F174,Calculations!$F$7*Radiators!F174))</f>
        <v>0</v>
      </c>
      <c r="Q174" s="37">
        <f t="shared" si="11"/>
        <v>0</v>
      </c>
    </row>
    <row r="175" spans="2:17">
      <c r="B175" s="33"/>
      <c r="C175" s="34"/>
      <c r="D175" s="34"/>
      <c r="E175" s="34"/>
      <c r="F175" s="34"/>
      <c r="G175" s="34"/>
      <c r="H175" s="34">
        <f>IFERROR(IF(B175="Column",INDEX(RadCompList!$C$4:$G$13,MATCH(C175,RadCompList!$B$4:$B$13),MATCH(Radiators!D175,RadCompList!$C$3:$G$3)),IF(B175="Tube",INDEX(RadCompList!$C$16:$I$22,MATCH(C175,RadCompList!$B$16:$B$22),MATCH(Radiators!D175,RadCompList!$C$15:$I$15)),IF(B175="Cast Rad/Conv",INDEX(RadCompList!$C$28:$D$28,MATCH(C175,RadCompList!$B$28),MATCH(Radiators!D175,RadCompList!$C$27:$D$27)),IF(B175="Copper Cabinet",(INDEX(RadCompList!$E$39:$J$78,MATCH(Radiators!D175,RadCompList!$D$39:$D$78,0),MATCH(C175,RadCompList!$E$38:$J$38,0))),0))))*E175,0)*$A$2</f>
        <v>0</v>
      </c>
      <c r="I175" s="34">
        <f t="shared" si="9"/>
        <v>0</v>
      </c>
      <c r="J175" s="35">
        <f>IFERROR(VLOOKUP(G175,VentList!$A$1:$D$198,2,FALSE),0)</f>
        <v>0</v>
      </c>
      <c r="K175" s="26">
        <f>IFERROR(VLOOKUP(B175,RadCompList!$P$3:$Q$6,2,FALSE)*H175,0)</f>
        <v>0</v>
      </c>
      <c r="L175" s="26" t="str">
        <f t="shared" si="12"/>
        <v>3/4</v>
      </c>
      <c r="M175" s="37">
        <f>Main!$G$8-0.0001306*N175^2 * F175*(1+3.6/VLOOKUP(L175,Calculations!$B$4:$F$15,2,FALSE))/(3600*Main!$C$7*VLOOKUP(L175,Calculations!$B$4:$F$15,2,FALSE)^5)</f>
        <v>0.14820436411902377</v>
      </c>
      <c r="N175" s="37">
        <f t="shared" si="10"/>
        <v>0</v>
      </c>
      <c r="O175" s="37">
        <f>IF(H175&lt;32,SteamProperties!$F$24*Radiators!F175,IF(H175&lt;56,SteamProperties!$F$25*Radiators!F175,SteamProperties!$F$26*Radiators!F175))</f>
        <v>0</v>
      </c>
      <c r="P175" s="37">
        <f>IF(H175&lt;32,Calculations!$F$5*Radiators!F175,IF(H175&lt;56,Calculations!$F$6*Radiators!F175,Calculations!$F$7*Radiators!F175))</f>
        <v>0</v>
      </c>
      <c r="Q175" s="37">
        <f t="shared" si="11"/>
        <v>0</v>
      </c>
    </row>
    <row r="176" spans="2:17">
      <c r="B176" s="33"/>
      <c r="C176" s="34"/>
      <c r="D176" s="34"/>
      <c r="E176" s="34"/>
      <c r="F176" s="34"/>
      <c r="G176" s="34"/>
      <c r="H176" s="34">
        <f>IFERROR(IF(B176="Column",INDEX(RadCompList!$C$4:$G$13,MATCH(C176,RadCompList!$B$4:$B$13),MATCH(Radiators!D176,RadCompList!$C$3:$G$3)),IF(B176="Tube",INDEX(RadCompList!$C$16:$I$22,MATCH(C176,RadCompList!$B$16:$B$22),MATCH(Radiators!D176,RadCompList!$C$15:$I$15)),IF(B176="Cast Rad/Conv",INDEX(RadCompList!$C$28:$D$28,MATCH(C176,RadCompList!$B$28),MATCH(Radiators!D176,RadCompList!$C$27:$D$27)),IF(B176="Copper Cabinet",(INDEX(RadCompList!$E$39:$J$78,MATCH(Radiators!D176,RadCompList!$D$39:$D$78,0),MATCH(C176,RadCompList!$E$38:$J$38,0))),0))))*E176,0)*$A$2</f>
        <v>0</v>
      </c>
      <c r="I176" s="34">
        <f t="shared" si="9"/>
        <v>0</v>
      </c>
      <c r="J176" s="35">
        <f>IFERROR(VLOOKUP(G176,VentList!$A$1:$D$198,2,FALSE),0)</f>
        <v>0</v>
      </c>
      <c r="K176" s="26">
        <f>IFERROR(VLOOKUP(B176,RadCompList!$P$3:$Q$6,2,FALSE)*H176,0)</f>
        <v>0</v>
      </c>
      <c r="L176" s="26" t="str">
        <f t="shared" si="12"/>
        <v>3/4</v>
      </c>
      <c r="M176" s="37">
        <f>Main!$G$8-0.0001306*N176^2 * F176*(1+3.6/VLOOKUP(L176,Calculations!$B$4:$F$15,2,FALSE))/(3600*Main!$C$7*VLOOKUP(L176,Calculations!$B$4:$F$15,2,FALSE)^5)</f>
        <v>0.14820436411902377</v>
      </c>
      <c r="N176" s="37">
        <f t="shared" si="10"/>
        <v>0</v>
      </c>
      <c r="O176" s="37">
        <f>IF(H176&lt;32,SteamProperties!$F$24*Radiators!F176,IF(H176&lt;56,SteamProperties!$F$25*Radiators!F176,SteamProperties!$F$26*Radiators!F176))</f>
        <v>0</v>
      </c>
      <c r="P176" s="37">
        <f>IF(H176&lt;32,Calculations!$F$5*Radiators!F176,IF(H176&lt;56,Calculations!$F$6*Radiators!F176,Calculations!$F$7*Radiators!F176))</f>
        <v>0</v>
      </c>
      <c r="Q176" s="37">
        <f t="shared" si="11"/>
        <v>0</v>
      </c>
    </row>
    <row r="177" spans="2:17">
      <c r="B177" s="33"/>
      <c r="C177" s="34"/>
      <c r="D177" s="34"/>
      <c r="E177" s="34"/>
      <c r="F177" s="34"/>
      <c r="G177" s="34"/>
      <c r="H177" s="34">
        <f>IFERROR(IF(B177="Column",INDEX(RadCompList!$C$4:$G$13,MATCH(C177,RadCompList!$B$4:$B$13),MATCH(Radiators!D177,RadCompList!$C$3:$G$3)),IF(B177="Tube",INDEX(RadCompList!$C$16:$I$22,MATCH(C177,RadCompList!$B$16:$B$22),MATCH(Radiators!D177,RadCompList!$C$15:$I$15)),IF(B177="Cast Rad/Conv",INDEX(RadCompList!$C$28:$D$28,MATCH(C177,RadCompList!$B$28),MATCH(Radiators!D177,RadCompList!$C$27:$D$27)),IF(B177="Copper Cabinet",(INDEX(RadCompList!$E$39:$J$78,MATCH(Radiators!D177,RadCompList!$D$39:$D$78,0),MATCH(C177,RadCompList!$E$38:$J$38,0))),0))))*E177,0)*$A$2</f>
        <v>0</v>
      </c>
      <c r="I177" s="34">
        <f t="shared" si="9"/>
        <v>0</v>
      </c>
      <c r="J177" s="35">
        <f>IFERROR(VLOOKUP(G177,VentList!$A$1:$D$198,2,FALSE),0)</f>
        <v>0</v>
      </c>
      <c r="K177" s="26">
        <f>IFERROR(VLOOKUP(B177,RadCompList!$P$3:$Q$6,2,FALSE)*H177,0)</f>
        <v>0</v>
      </c>
      <c r="L177" s="26" t="str">
        <f t="shared" si="12"/>
        <v>3/4</v>
      </c>
      <c r="M177" s="37">
        <f>Main!$G$8-0.0001306*N177^2 * F177*(1+3.6/VLOOKUP(L177,Calculations!$B$4:$F$15,2,FALSE))/(3600*Main!$C$7*VLOOKUP(L177,Calculations!$B$4:$F$15,2,FALSE)^5)</f>
        <v>0.14820436411902377</v>
      </c>
      <c r="N177" s="37">
        <f t="shared" si="10"/>
        <v>0</v>
      </c>
      <c r="O177" s="37">
        <f>IF(H177&lt;32,SteamProperties!$F$24*Radiators!F177,IF(H177&lt;56,SteamProperties!$F$25*Radiators!F177,SteamProperties!$F$26*Radiators!F177))</f>
        <v>0</v>
      </c>
      <c r="P177" s="37">
        <f>IF(H177&lt;32,Calculations!$F$5*Radiators!F177,IF(H177&lt;56,Calculations!$F$6*Radiators!F177,Calculations!$F$7*Radiators!F177))</f>
        <v>0</v>
      </c>
      <c r="Q177" s="37">
        <f t="shared" si="11"/>
        <v>0</v>
      </c>
    </row>
    <row r="178" spans="2:17">
      <c r="B178" s="33"/>
      <c r="C178" s="34"/>
      <c r="D178" s="34"/>
      <c r="E178" s="34"/>
      <c r="F178" s="34"/>
      <c r="G178" s="34"/>
      <c r="H178" s="34">
        <f>IFERROR(IF(B178="Column",INDEX(RadCompList!$C$4:$G$13,MATCH(C178,RadCompList!$B$4:$B$13),MATCH(Radiators!D178,RadCompList!$C$3:$G$3)),IF(B178="Tube",INDEX(RadCompList!$C$16:$I$22,MATCH(C178,RadCompList!$B$16:$B$22),MATCH(Radiators!D178,RadCompList!$C$15:$I$15)),IF(B178="Cast Rad/Conv",INDEX(RadCompList!$C$28:$D$28,MATCH(C178,RadCompList!$B$28),MATCH(Radiators!D178,RadCompList!$C$27:$D$27)),IF(B178="Copper Cabinet",(INDEX(RadCompList!$E$39:$J$78,MATCH(Radiators!D178,RadCompList!$D$39:$D$78,0),MATCH(C178,RadCompList!$E$38:$J$38,0))),0))))*E178,0)*$A$2</f>
        <v>0</v>
      </c>
      <c r="I178" s="34">
        <f t="shared" si="9"/>
        <v>0</v>
      </c>
      <c r="J178" s="35">
        <f>IFERROR(VLOOKUP(G178,VentList!$A$1:$D$198,2,FALSE),0)</f>
        <v>0</v>
      </c>
      <c r="K178" s="26">
        <f>IFERROR(VLOOKUP(B178,RadCompList!$P$3:$Q$6,2,FALSE)*H178,0)</f>
        <v>0</v>
      </c>
      <c r="L178" s="26" t="str">
        <f t="shared" si="12"/>
        <v>3/4</v>
      </c>
      <c r="M178" s="37">
        <f>Main!$G$8-0.0001306*N178^2 * F178*(1+3.6/VLOOKUP(L178,Calculations!$B$4:$F$15,2,FALSE))/(3600*Main!$C$7*VLOOKUP(L178,Calculations!$B$4:$F$15,2,FALSE)^5)</f>
        <v>0.14820436411902377</v>
      </c>
      <c r="N178" s="37">
        <f t="shared" si="10"/>
        <v>0</v>
      </c>
      <c r="O178" s="37">
        <f>IF(H178&lt;32,SteamProperties!$F$24*Radiators!F178,IF(H178&lt;56,SteamProperties!$F$25*Radiators!F178,SteamProperties!$F$26*Radiators!F178))</f>
        <v>0</v>
      </c>
      <c r="P178" s="37">
        <f>IF(H178&lt;32,Calculations!$F$5*Radiators!F178,IF(H178&lt;56,Calculations!$F$6*Radiators!F178,Calculations!$F$7*Radiators!F178))</f>
        <v>0</v>
      </c>
      <c r="Q178" s="37">
        <f t="shared" si="11"/>
        <v>0</v>
      </c>
    </row>
    <row r="179" spans="2:17">
      <c r="B179" s="33"/>
      <c r="C179" s="34"/>
      <c r="D179" s="34"/>
      <c r="E179" s="34"/>
      <c r="F179" s="34"/>
      <c r="G179" s="34"/>
      <c r="H179" s="34">
        <f>IFERROR(IF(B179="Column",INDEX(RadCompList!$C$4:$G$13,MATCH(C179,RadCompList!$B$4:$B$13),MATCH(Radiators!D179,RadCompList!$C$3:$G$3)),IF(B179="Tube",INDEX(RadCompList!$C$16:$I$22,MATCH(C179,RadCompList!$B$16:$B$22),MATCH(Radiators!D179,RadCompList!$C$15:$I$15)),IF(B179="Cast Rad/Conv",INDEX(RadCompList!$C$28:$D$28,MATCH(C179,RadCompList!$B$28),MATCH(Radiators!D179,RadCompList!$C$27:$D$27)),IF(B179="Copper Cabinet",(INDEX(RadCompList!$E$39:$J$78,MATCH(Radiators!D179,RadCompList!$D$39:$D$78,0),MATCH(C179,RadCompList!$E$38:$J$38,0))),0))))*E179,0)*$A$2</f>
        <v>0</v>
      </c>
      <c r="I179" s="34">
        <f t="shared" si="9"/>
        <v>0</v>
      </c>
      <c r="J179" s="35">
        <f>IFERROR(VLOOKUP(G179,VentList!$A$1:$D$198,2,FALSE),0)</f>
        <v>0</v>
      </c>
      <c r="K179" s="26">
        <f>IFERROR(VLOOKUP(B179,RadCompList!$P$3:$Q$6,2,FALSE)*H179,0)</f>
        <v>0</v>
      </c>
      <c r="L179" s="26" t="str">
        <f t="shared" si="12"/>
        <v>3/4</v>
      </c>
      <c r="M179" s="37">
        <f>Main!$G$8-0.0001306*N179^2 * F179*(1+3.6/VLOOKUP(L179,Calculations!$B$4:$F$15,2,FALSE))/(3600*Main!$C$7*VLOOKUP(L179,Calculations!$B$4:$F$15,2,FALSE)^5)</f>
        <v>0.14820436411902377</v>
      </c>
      <c r="N179" s="37">
        <f t="shared" si="10"/>
        <v>0</v>
      </c>
      <c r="O179" s="37">
        <f>IF(H179&lt;32,SteamProperties!$F$24*Radiators!F179,IF(H179&lt;56,SteamProperties!$F$25*Radiators!F179,SteamProperties!$F$26*Radiators!F179))</f>
        <v>0</v>
      </c>
      <c r="P179" s="37">
        <f>IF(H179&lt;32,Calculations!$F$5*Radiators!F179,IF(H179&lt;56,Calculations!$F$6*Radiators!F179,Calculations!$F$7*Radiators!F179))</f>
        <v>0</v>
      </c>
      <c r="Q179" s="37">
        <f t="shared" si="11"/>
        <v>0</v>
      </c>
    </row>
    <row r="180" spans="2:17">
      <c r="B180" s="33"/>
      <c r="C180" s="34"/>
      <c r="D180" s="34"/>
      <c r="E180" s="34"/>
      <c r="F180" s="34"/>
      <c r="G180" s="34"/>
      <c r="H180" s="34">
        <f>IFERROR(IF(B180="Column",INDEX(RadCompList!$C$4:$G$13,MATCH(C180,RadCompList!$B$4:$B$13),MATCH(Radiators!D180,RadCompList!$C$3:$G$3)),IF(B180="Tube",INDEX(RadCompList!$C$16:$I$22,MATCH(C180,RadCompList!$B$16:$B$22),MATCH(Radiators!D180,RadCompList!$C$15:$I$15)),IF(B180="Cast Rad/Conv",INDEX(RadCompList!$C$28:$D$28,MATCH(C180,RadCompList!$B$28),MATCH(Radiators!D180,RadCompList!$C$27:$D$27)),IF(B180="Copper Cabinet",(INDEX(RadCompList!$E$39:$J$78,MATCH(Radiators!D180,RadCompList!$D$39:$D$78,0),MATCH(C180,RadCompList!$E$38:$J$38,0))),0))))*E180,0)*$A$2</f>
        <v>0</v>
      </c>
      <c r="I180" s="34">
        <f t="shared" si="9"/>
        <v>0</v>
      </c>
      <c r="J180" s="35">
        <f>IFERROR(VLOOKUP(G180,VentList!$A$1:$D$198,2,FALSE),0)</f>
        <v>0</v>
      </c>
      <c r="K180" s="26">
        <f>IFERROR(VLOOKUP(B180,RadCompList!$P$3:$Q$6,2,FALSE)*H180,0)</f>
        <v>0</v>
      </c>
      <c r="L180" s="26" t="str">
        <f t="shared" si="12"/>
        <v>3/4</v>
      </c>
      <c r="M180" s="37">
        <f>Main!$G$8-0.0001306*N180^2 * F180*(1+3.6/VLOOKUP(L180,Calculations!$B$4:$F$15,2,FALSE))/(3600*Main!$C$7*VLOOKUP(L180,Calculations!$B$4:$F$15,2,FALSE)^5)</f>
        <v>0.14820436411902377</v>
      </c>
      <c r="N180" s="37">
        <f t="shared" si="10"/>
        <v>0</v>
      </c>
      <c r="O180" s="37">
        <f>IF(H180&lt;32,SteamProperties!$F$24*Radiators!F180,IF(H180&lt;56,SteamProperties!$F$25*Radiators!F180,SteamProperties!$F$26*Radiators!F180))</f>
        <v>0</v>
      </c>
      <c r="P180" s="37">
        <f>IF(H180&lt;32,Calculations!$F$5*Radiators!F180,IF(H180&lt;56,Calculations!$F$6*Radiators!F180,Calculations!$F$7*Radiators!F180))</f>
        <v>0</v>
      </c>
      <c r="Q180" s="37">
        <f t="shared" si="11"/>
        <v>0</v>
      </c>
    </row>
    <row r="181" spans="2:17">
      <c r="B181" s="33"/>
      <c r="C181" s="34"/>
      <c r="D181" s="34"/>
      <c r="E181" s="34"/>
      <c r="F181" s="34"/>
      <c r="G181" s="34"/>
      <c r="H181" s="34">
        <f>IFERROR(IF(B181="Column",INDEX(RadCompList!$C$4:$G$13,MATCH(C181,RadCompList!$B$4:$B$13),MATCH(Radiators!D181,RadCompList!$C$3:$G$3)),IF(B181="Tube",INDEX(RadCompList!$C$16:$I$22,MATCH(C181,RadCompList!$B$16:$B$22),MATCH(Radiators!D181,RadCompList!$C$15:$I$15)),IF(B181="Cast Rad/Conv",INDEX(RadCompList!$C$28:$D$28,MATCH(C181,RadCompList!$B$28),MATCH(Radiators!D181,RadCompList!$C$27:$D$27)),IF(B181="Copper Cabinet",(INDEX(RadCompList!$E$39:$J$78,MATCH(Radiators!D181,RadCompList!$D$39:$D$78,0),MATCH(C181,RadCompList!$E$38:$J$38,0))),0))))*E181,0)*$A$2</f>
        <v>0</v>
      </c>
      <c r="I181" s="34">
        <f t="shared" si="9"/>
        <v>0</v>
      </c>
      <c r="J181" s="35">
        <f>IFERROR(VLOOKUP(G181,VentList!$A$1:$D$198,2,FALSE),0)</f>
        <v>0</v>
      </c>
      <c r="K181" s="26">
        <f>IFERROR(VLOOKUP(B181,RadCompList!$P$3:$Q$6,2,FALSE)*H181,0)</f>
        <v>0</v>
      </c>
      <c r="L181" s="26" t="str">
        <f t="shared" si="12"/>
        <v>3/4</v>
      </c>
      <c r="M181" s="37">
        <f>Main!$G$8-0.0001306*N181^2 * F181*(1+3.6/VLOOKUP(L181,Calculations!$B$4:$F$15,2,FALSE))/(3600*Main!$C$7*VLOOKUP(L181,Calculations!$B$4:$F$15,2,FALSE)^5)</f>
        <v>0.14820436411902377</v>
      </c>
      <c r="N181" s="37">
        <f t="shared" si="10"/>
        <v>0</v>
      </c>
      <c r="O181" s="37">
        <f>IF(H181&lt;32,SteamProperties!$F$24*Radiators!F181,IF(H181&lt;56,SteamProperties!$F$25*Radiators!F181,SteamProperties!$F$26*Radiators!F181))</f>
        <v>0</v>
      </c>
      <c r="P181" s="37">
        <f>IF(H181&lt;32,Calculations!$F$5*Radiators!F181,IF(H181&lt;56,Calculations!$F$6*Radiators!F181,Calculations!$F$7*Radiators!F181))</f>
        <v>0</v>
      </c>
      <c r="Q181" s="37">
        <f t="shared" si="11"/>
        <v>0</v>
      </c>
    </row>
    <row r="182" spans="2:17">
      <c r="B182" s="33"/>
      <c r="C182" s="34"/>
      <c r="D182" s="34"/>
      <c r="E182" s="34"/>
      <c r="F182" s="34"/>
      <c r="G182" s="34"/>
      <c r="H182" s="34">
        <f>IFERROR(IF(B182="Column",INDEX(RadCompList!$C$4:$G$13,MATCH(C182,RadCompList!$B$4:$B$13),MATCH(Radiators!D182,RadCompList!$C$3:$G$3)),IF(B182="Tube",INDEX(RadCompList!$C$16:$I$22,MATCH(C182,RadCompList!$B$16:$B$22),MATCH(Radiators!D182,RadCompList!$C$15:$I$15)),IF(B182="Cast Rad/Conv",INDEX(RadCompList!$C$28:$D$28,MATCH(C182,RadCompList!$B$28),MATCH(Radiators!D182,RadCompList!$C$27:$D$27)),IF(B182="Copper Cabinet",(INDEX(RadCompList!$E$39:$J$78,MATCH(Radiators!D182,RadCompList!$D$39:$D$78,0),MATCH(C182,RadCompList!$E$38:$J$38,0))),0))))*E182,0)*$A$2</f>
        <v>0</v>
      </c>
      <c r="I182" s="34">
        <f t="shared" si="9"/>
        <v>0</v>
      </c>
      <c r="J182" s="35">
        <f>IFERROR(VLOOKUP(G182,VentList!$A$1:$D$198,2,FALSE),0)</f>
        <v>0</v>
      </c>
      <c r="K182" s="26">
        <f>IFERROR(VLOOKUP(B182,RadCompList!$P$3:$Q$6,2,FALSE)*H182,0)</f>
        <v>0</v>
      </c>
      <c r="L182" s="26" t="str">
        <f t="shared" si="12"/>
        <v>3/4</v>
      </c>
      <c r="M182" s="37">
        <f>Main!$G$8-0.0001306*N182^2 * F182*(1+3.6/VLOOKUP(L182,Calculations!$B$4:$F$15,2,FALSE))/(3600*Main!$C$7*VLOOKUP(L182,Calculations!$B$4:$F$15,2,FALSE)^5)</f>
        <v>0.14820436411902377</v>
      </c>
      <c r="N182" s="37">
        <f t="shared" si="10"/>
        <v>0</v>
      </c>
      <c r="O182" s="37">
        <f>IF(H182&lt;32,SteamProperties!$F$24*Radiators!F182,IF(H182&lt;56,SteamProperties!$F$25*Radiators!F182,SteamProperties!$F$26*Radiators!F182))</f>
        <v>0</v>
      </c>
      <c r="P182" s="37">
        <f>IF(H182&lt;32,Calculations!$F$5*Radiators!F182,IF(H182&lt;56,Calculations!$F$6*Radiators!F182,Calculations!$F$7*Radiators!F182))</f>
        <v>0</v>
      </c>
      <c r="Q182" s="37">
        <f t="shared" si="11"/>
        <v>0</v>
      </c>
    </row>
    <row r="183" spans="2:17">
      <c r="B183" s="33"/>
      <c r="C183" s="34"/>
      <c r="D183" s="34"/>
      <c r="E183" s="34"/>
      <c r="F183" s="34"/>
      <c r="G183" s="34"/>
      <c r="H183" s="34">
        <f>IFERROR(IF(B183="Column",INDEX(RadCompList!$C$4:$G$13,MATCH(C183,RadCompList!$B$4:$B$13),MATCH(Radiators!D183,RadCompList!$C$3:$G$3)),IF(B183="Tube",INDEX(RadCompList!$C$16:$I$22,MATCH(C183,RadCompList!$B$16:$B$22),MATCH(Radiators!D183,RadCompList!$C$15:$I$15)),IF(B183="Cast Rad/Conv",INDEX(RadCompList!$C$28:$D$28,MATCH(C183,RadCompList!$B$28),MATCH(Radiators!D183,RadCompList!$C$27:$D$27)),IF(B183="Copper Cabinet",(INDEX(RadCompList!$E$39:$J$78,MATCH(Radiators!D183,RadCompList!$D$39:$D$78,0),MATCH(C183,RadCompList!$E$38:$J$38,0))),0))))*E183,0)*$A$2</f>
        <v>0</v>
      </c>
      <c r="I183" s="34">
        <f t="shared" si="9"/>
        <v>0</v>
      </c>
      <c r="J183" s="35">
        <f>IFERROR(VLOOKUP(G183,VentList!$A$1:$D$198,2,FALSE),0)</f>
        <v>0</v>
      </c>
      <c r="K183" s="26">
        <f>IFERROR(VLOOKUP(B183,RadCompList!$P$3:$Q$6,2,FALSE)*H183,0)</f>
        <v>0</v>
      </c>
      <c r="L183" s="26" t="str">
        <f t="shared" si="12"/>
        <v>3/4</v>
      </c>
      <c r="M183" s="37">
        <f>Main!$G$8-0.0001306*N183^2 * F183*(1+3.6/VLOOKUP(L183,Calculations!$B$4:$F$15,2,FALSE))/(3600*Main!$C$7*VLOOKUP(L183,Calculations!$B$4:$F$15,2,FALSE)^5)</f>
        <v>0.14820436411902377</v>
      </c>
      <c r="N183" s="37">
        <f t="shared" si="10"/>
        <v>0</v>
      </c>
      <c r="O183" s="37">
        <f>IF(H183&lt;32,SteamProperties!$F$24*Radiators!F183,IF(H183&lt;56,SteamProperties!$F$25*Radiators!F183,SteamProperties!$F$26*Radiators!F183))</f>
        <v>0</v>
      </c>
      <c r="P183" s="37">
        <f>IF(H183&lt;32,Calculations!$F$5*Radiators!F183,IF(H183&lt;56,Calculations!$F$6*Radiators!F183,Calculations!$F$7*Radiators!F183))</f>
        <v>0</v>
      </c>
      <c r="Q183" s="37">
        <f t="shared" si="11"/>
        <v>0</v>
      </c>
    </row>
    <row r="184" spans="2:17">
      <c r="B184" s="33"/>
      <c r="C184" s="34"/>
      <c r="D184" s="34"/>
      <c r="E184" s="34"/>
      <c r="F184" s="34"/>
      <c r="G184" s="34"/>
      <c r="H184" s="34">
        <f>IFERROR(IF(B184="Column",INDEX(RadCompList!$C$4:$G$13,MATCH(C184,RadCompList!$B$4:$B$13),MATCH(Radiators!D184,RadCompList!$C$3:$G$3)),IF(B184="Tube",INDEX(RadCompList!$C$16:$I$22,MATCH(C184,RadCompList!$B$16:$B$22),MATCH(Radiators!D184,RadCompList!$C$15:$I$15)),IF(B184="Cast Rad/Conv",INDEX(RadCompList!$C$28:$D$28,MATCH(C184,RadCompList!$B$28),MATCH(Radiators!D184,RadCompList!$C$27:$D$27)),IF(B184="Copper Cabinet",(INDEX(RadCompList!$E$39:$J$78,MATCH(Radiators!D184,RadCompList!$D$39:$D$78,0),MATCH(C184,RadCompList!$E$38:$J$38,0))),0))))*E184,0)*$A$2</f>
        <v>0</v>
      </c>
      <c r="I184" s="34">
        <f t="shared" si="9"/>
        <v>0</v>
      </c>
      <c r="J184" s="35">
        <f>IFERROR(VLOOKUP(G184,VentList!$A$1:$D$198,2,FALSE),0)</f>
        <v>0</v>
      </c>
      <c r="K184" s="26">
        <f>IFERROR(VLOOKUP(B184,RadCompList!$P$3:$Q$6,2,FALSE)*H184,0)</f>
        <v>0</v>
      </c>
      <c r="L184" s="26" t="str">
        <f t="shared" si="12"/>
        <v>3/4</v>
      </c>
      <c r="M184" s="37">
        <f>Main!$G$8-0.0001306*N184^2 * F184*(1+3.6/VLOOKUP(L184,Calculations!$B$4:$F$15,2,FALSE))/(3600*Main!$C$7*VLOOKUP(L184,Calculations!$B$4:$F$15,2,FALSE)^5)</f>
        <v>0.14820436411902377</v>
      </c>
      <c r="N184" s="37">
        <f t="shared" si="10"/>
        <v>0</v>
      </c>
      <c r="O184" s="37">
        <f>IF(H184&lt;32,SteamProperties!$F$24*Radiators!F184,IF(H184&lt;56,SteamProperties!$F$25*Radiators!F184,SteamProperties!$F$26*Radiators!F184))</f>
        <v>0</v>
      </c>
      <c r="P184" s="37">
        <f>IF(H184&lt;32,Calculations!$F$5*Radiators!F184,IF(H184&lt;56,Calculations!$F$6*Radiators!F184,Calculations!$F$7*Radiators!F184))</f>
        <v>0</v>
      </c>
      <c r="Q184" s="37">
        <f t="shared" si="11"/>
        <v>0</v>
      </c>
    </row>
    <row r="185" spans="2:17">
      <c r="B185" s="33"/>
      <c r="C185" s="34"/>
      <c r="D185" s="34"/>
      <c r="E185" s="34"/>
      <c r="F185" s="34"/>
      <c r="G185" s="34"/>
      <c r="H185" s="34">
        <f>IFERROR(IF(B185="Column",INDEX(RadCompList!$C$4:$G$13,MATCH(C185,RadCompList!$B$4:$B$13),MATCH(Radiators!D185,RadCompList!$C$3:$G$3)),IF(B185="Tube",INDEX(RadCompList!$C$16:$I$22,MATCH(C185,RadCompList!$B$16:$B$22),MATCH(Radiators!D185,RadCompList!$C$15:$I$15)),IF(B185="Cast Rad/Conv",INDEX(RadCompList!$C$28:$D$28,MATCH(C185,RadCompList!$B$28),MATCH(Radiators!D185,RadCompList!$C$27:$D$27)),IF(B185="Copper Cabinet",(INDEX(RadCompList!$E$39:$J$78,MATCH(Radiators!D185,RadCompList!$D$39:$D$78,0),MATCH(C185,RadCompList!$E$38:$J$38,0))),0))))*E185,0)*$A$2</f>
        <v>0</v>
      </c>
      <c r="I185" s="34">
        <f t="shared" si="9"/>
        <v>0</v>
      </c>
      <c r="J185" s="35">
        <f>IFERROR(VLOOKUP(G185,VentList!$A$1:$D$198,2,FALSE),0)</f>
        <v>0</v>
      </c>
      <c r="K185" s="26">
        <f>IFERROR(VLOOKUP(B185,RadCompList!$P$3:$Q$6,2,FALSE)*H185,0)</f>
        <v>0</v>
      </c>
      <c r="L185" s="26" t="str">
        <f t="shared" si="12"/>
        <v>3/4</v>
      </c>
      <c r="M185" s="37">
        <f>Main!$G$8-0.0001306*N185^2 * F185*(1+3.6/VLOOKUP(L185,Calculations!$B$4:$F$15,2,FALSE))/(3600*Main!$C$7*VLOOKUP(L185,Calculations!$B$4:$F$15,2,FALSE)^5)</f>
        <v>0.14820436411902377</v>
      </c>
      <c r="N185" s="37">
        <f t="shared" si="10"/>
        <v>0</v>
      </c>
      <c r="O185" s="37">
        <f>IF(H185&lt;32,SteamProperties!$F$24*Radiators!F185,IF(H185&lt;56,SteamProperties!$F$25*Radiators!F185,SteamProperties!$F$26*Radiators!F185))</f>
        <v>0</v>
      </c>
      <c r="P185" s="37">
        <f>IF(H185&lt;32,Calculations!$F$5*Radiators!F185,IF(H185&lt;56,Calculations!$F$6*Radiators!F185,Calculations!$F$7*Radiators!F185))</f>
        <v>0</v>
      </c>
      <c r="Q185" s="37">
        <f t="shared" si="11"/>
        <v>0</v>
      </c>
    </row>
    <row r="186" spans="2:17">
      <c r="B186" s="33"/>
      <c r="C186" s="34"/>
      <c r="D186" s="34"/>
      <c r="E186" s="34"/>
      <c r="F186" s="34"/>
      <c r="G186" s="34"/>
      <c r="H186" s="34">
        <f>IFERROR(IF(B186="Column",INDEX(RadCompList!$C$4:$G$13,MATCH(C186,RadCompList!$B$4:$B$13),MATCH(Radiators!D186,RadCompList!$C$3:$G$3)),IF(B186="Tube",INDEX(RadCompList!$C$16:$I$22,MATCH(C186,RadCompList!$B$16:$B$22),MATCH(Radiators!D186,RadCompList!$C$15:$I$15)),IF(B186="Cast Rad/Conv",INDEX(RadCompList!$C$28:$D$28,MATCH(C186,RadCompList!$B$28),MATCH(Radiators!D186,RadCompList!$C$27:$D$27)),IF(B186="Copper Cabinet",(INDEX(RadCompList!$E$39:$J$78,MATCH(Radiators!D186,RadCompList!$D$39:$D$78,0),MATCH(C186,RadCompList!$E$38:$J$38,0))),0))))*E186,0)*$A$2</f>
        <v>0</v>
      </c>
      <c r="I186" s="34">
        <f t="shared" si="9"/>
        <v>0</v>
      </c>
      <c r="J186" s="35">
        <f>IFERROR(VLOOKUP(G186,VentList!$A$1:$D$198,2,FALSE),0)</f>
        <v>0</v>
      </c>
      <c r="K186" s="26">
        <f>IFERROR(VLOOKUP(B186,RadCompList!$P$3:$Q$6,2,FALSE)*H186,0)</f>
        <v>0</v>
      </c>
      <c r="L186" s="26" t="str">
        <f t="shared" si="12"/>
        <v>3/4</v>
      </c>
      <c r="M186" s="37">
        <f>Main!$G$8-0.0001306*N186^2 * F186*(1+3.6/VLOOKUP(L186,Calculations!$B$4:$F$15,2,FALSE))/(3600*Main!$C$7*VLOOKUP(L186,Calculations!$B$4:$F$15,2,FALSE)^5)</f>
        <v>0.14820436411902377</v>
      </c>
      <c r="N186" s="37">
        <f t="shared" si="10"/>
        <v>0</v>
      </c>
      <c r="O186" s="37">
        <f>IF(H186&lt;32,SteamProperties!$F$24*Radiators!F186,IF(H186&lt;56,SteamProperties!$F$25*Radiators!F186,SteamProperties!$F$26*Radiators!F186))</f>
        <v>0</v>
      </c>
      <c r="P186" s="37">
        <f>IF(H186&lt;32,Calculations!$F$5*Radiators!F186,IF(H186&lt;56,Calculations!$F$6*Radiators!F186,Calculations!$F$7*Radiators!F186))</f>
        <v>0</v>
      </c>
      <c r="Q186" s="37">
        <f t="shared" si="11"/>
        <v>0</v>
      </c>
    </row>
    <row r="187" spans="2:17">
      <c r="B187" s="33"/>
      <c r="C187" s="34"/>
      <c r="D187" s="34"/>
      <c r="E187" s="34"/>
      <c r="F187" s="34"/>
      <c r="G187" s="34"/>
      <c r="H187" s="34">
        <f>IFERROR(IF(B187="Column",INDEX(RadCompList!$C$4:$G$13,MATCH(C187,RadCompList!$B$4:$B$13),MATCH(Radiators!D187,RadCompList!$C$3:$G$3)),IF(B187="Tube",INDEX(RadCompList!$C$16:$I$22,MATCH(C187,RadCompList!$B$16:$B$22),MATCH(Radiators!D187,RadCompList!$C$15:$I$15)),IF(B187="Cast Rad/Conv",INDEX(RadCompList!$C$28:$D$28,MATCH(C187,RadCompList!$B$28),MATCH(Radiators!D187,RadCompList!$C$27:$D$27)),IF(B187="Copper Cabinet",(INDEX(RadCompList!$E$39:$J$78,MATCH(Radiators!D187,RadCompList!$D$39:$D$78,0),MATCH(C187,RadCompList!$E$38:$J$38,0))),0))))*E187,0)*$A$2</f>
        <v>0</v>
      </c>
      <c r="I187" s="34">
        <f t="shared" si="9"/>
        <v>0</v>
      </c>
      <c r="J187" s="35">
        <f>IFERROR(VLOOKUP(G187,VentList!$A$1:$D$198,2,FALSE),0)</f>
        <v>0</v>
      </c>
      <c r="K187" s="26">
        <f>IFERROR(VLOOKUP(B187,RadCompList!$P$3:$Q$6,2,FALSE)*H187,0)</f>
        <v>0</v>
      </c>
      <c r="L187" s="26" t="str">
        <f t="shared" si="12"/>
        <v>3/4</v>
      </c>
      <c r="M187" s="37">
        <f>Main!$G$8-0.0001306*N187^2 * F187*(1+3.6/VLOOKUP(L187,Calculations!$B$4:$F$15,2,FALSE))/(3600*Main!$C$7*VLOOKUP(L187,Calculations!$B$4:$F$15,2,FALSE)^5)</f>
        <v>0.14820436411902377</v>
      </c>
      <c r="N187" s="37">
        <f t="shared" si="10"/>
        <v>0</v>
      </c>
      <c r="O187" s="37">
        <f>IF(H187&lt;32,SteamProperties!$F$24*Radiators!F187,IF(H187&lt;56,SteamProperties!$F$25*Radiators!F187,SteamProperties!$F$26*Radiators!F187))</f>
        <v>0</v>
      </c>
      <c r="P187" s="37">
        <f>IF(H187&lt;32,Calculations!$F$5*Radiators!F187,IF(H187&lt;56,Calculations!$F$6*Radiators!F187,Calculations!$F$7*Radiators!F187))</f>
        <v>0</v>
      </c>
      <c r="Q187" s="37">
        <f t="shared" si="11"/>
        <v>0</v>
      </c>
    </row>
    <row r="188" spans="2:17">
      <c r="B188" s="33"/>
      <c r="C188" s="34"/>
      <c r="D188" s="34"/>
      <c r="E188" s="34"/>
      <c r="F188" s="34"/>
      <c r="G188" s="34"/>
      <c r="H188" s="34">
        <f>IFERROR(IF(B188="Column",INDEX(RadCompList!$C$4:$G$13,MATCH(C188,RadCompList!$B$4:$B$13),MATCH(Radiators!D188,RadCompList!$C$3:$G$3)),IF(B188="Tube",INDEX(RadCompList!$C$16:$I$22,MATCH(C188,RadCompList!$B$16:$B$22),MATCH(Radiators!D188,RadCompList!$C$15:$I$15)),IF(B188="Cast Rad/Conv",INDEX(RadCompList!$C$28:$D$28,MATCH(C188,RadCompList!$B$28),MATCH(Radiators!D188,RadCompList!$C$27:$D$27)),IF(B188="Copper Cabinet",(INDEX(RadCompList!$E$39:$J$78,MATCH(Radiators!D188,RadCompList!$D$39:$D$78,0),MATCH(C188,RadCompList!$E$38:$J$38,0))),0))))*E188,0)*$A$2</f>
        <v>0</v>
      </c>
      <c r="I188" s="34">
        <f t="shared" si="9"/>
        <v>0</v>
      </c>
      <c r="J188" s="35">
        <f>IFERROR(VLOOKUP(G188,VentList!$A$1:$D$198,2,FALSE),0)</f>
        <v>0</v>
      </c>
      <c r="K188" s="26">
        <f>IFERROR(VLOOKUP(B188,RadCompList!$P$3:$Q$6,2,FALSE)*H188,0)</f>
        <v>0</v>
      </c>
      <c r="L188" s="26" t="str">
        <f t="shared" si="12"/>
        <v>3/4</v>
      </c>
      <c r="M188" s="37">
        <f>Main!$G$8-0.0001306*N188^2 * F188*(1+3.6/VLOOKUP(L188,Calculations!$B$4:$F$15,2,FALSE))/(3600*Main!$C$7*VLOOKUP(L188,Calculations!$B$4:$F$15,2,FALSE)^5)</f>
        <v>0.14820436411902377</v>
      </c>
      <c r="N188" s="37">
        <f t="shared" si="10"/>
        <v>0</v>
      </c>
      <c r="O188" s="37">
        <f>IF(H188&lt;32,SteamProperties!$F$24*Radiators!F188,IF(H188&lt;56,SteamProperties!$F$25*Radiators!F188,SteamProperties!$F$26*Radiators!F188))</f>
        <v>0</v>
      </c>
      <c r="P188" s="37">
        <f>IF(H188&lt;32,Calculations!$F$5*Radiators!F188,IF(H188&lt;56,Calculations!$F$6*Radiators!F188,Calculations!$F$7*Radiators!F188))</f>
        <v>0</v>
      </c>
      <c r="Q188" s="37">
        <f t="shared" si="11"/>
        <v>0</v>
      </c>
    </row>
    <row r="189" spans="2:17">
      <c r="B189" s="33"/>
      <c r="C189" s="34"/>
      <c r="D189" s="34"/>
      <c r="E189" s="34"/>
      <c r="F189" s="34"/>
      <c r="G189" s="34"/>
      <c r="H189" s="34">
        <f>IFERROR(IF(B189="Column",INDEX(RadCompList!$C$4:$G$13,MATCH(C189,RadCompList!$B$4:$B$13),MATCH(Radiators!D189,RadCompList!$C$3:$G$3)),IF(B189="Tube",INDEX(RadCompList!$C$16:$I$22,MATCH(C189,RadCompList!$B$16:$B$22),MATCH(Radiators!D189,RadCompList!$C$15:$I$15)),IF(B189="Cast Rad/Conv",INDEX(RadCompList!$C$28:$D$28,MATCH(C189,RadCompList!$B$28),MATCH(Radiators!D189,RadCompList!$C$27:$D$27)),IF(B189="Copper Cabinet",(INDEX(RadCompList!$E$39:$J$78,MATCH(Radiators!D189,RadCompList!$D$39:$D$78,0),MATCH(C189,RadCompList!$E$38:$J$38,0))),0))))*E189,0)*$A$2</f>
        <v>0</v>
      </c>
      <c r="I189" s="34">
        <f t="shared" si="9"/>
        <v>0</v>
      </c>
      <c r="J189" s="35">
        <f>IFERROR(VLOOKUP(G189,VentList!$A$1:$D$198,2,FALSE),0)</f>
        <v>0</v>
      </c>
      <c r="K189" s="26">
        <f>IFERROR(VLOOKUP(B189,RadCompList!$P$3:$Q$6,2,FALSE)*H189,0)</f>
        <v>0</v>
      </c>
      <c r="L189" s="26" t="str">
        <f t="shared" si="12"/>
        <v>3/4</v>
      </c>
      <c r="M189" s="37">
        <f>Main!$G$8-0.0001306*N189^2 * F189*(1+3.6/VLOOKUP(L189,Calculations!$B$4:$F$15,2,FALSE))/(3600*Main!$C$7*VLOOKUP(L189,Calculations!$B$4:$F$15,2,FALSE)^5)</f>
        <v>0.14820436411902377</v>
      </c>
      <c r="N189" s="37">
        <f t="shared" si="10"/>
        <v>0</v>
      </c>
      <c r="O189" s="37">
        <f>IF(H189&lt;32,SteamProperties!$F$24*Radiators!F189,IF(H189&lt;56,SteamProperties!$F$25*Radiators!F189,SteamProperties!$F$26*Radiators!F189))</f>
        <v>0</v>
      </c>
      <c r="P189" s="37">
        <f>IF(H189&lt;32,Calculations!$F$5*Radiators!F189,IF(H189&lt;56,Calculations!$F$6*Radiators!F189,Calculations!$F$7*Radiators!F189))</f>
        <v>0</v>
      </c>
      <c r="Q189" s="37">
        <f t="shared" si="11"/>
        <v>0</v>
      </c>
    </row>
    <row r="190" spans="2:17">
      <c r="B190" s="33"/>
      <c r="C190" s="34"/>
      <c r="D190" s="34"/>
      <c r="E190" s="34"/>
      <c r="F190" s="34"/>
      <c r="G190" s="34"/>
      <c r="H190" s="34">
        <f>IFERROR(IF(B190="Column",INDEX(RadCompList!$C$4:$G$13,MATCH(C190,RadCompList!$B$4:$B$13),MATCH(Radiators!D190,RadCompList!$C$3:$G$3)),IF(B190="Tube",INDEX(RadCompList!$C$16:$I$22,MATCH(C190,RadCompList!$B$16:$B$22),MATCH(Radiators!D190,RadCompList!$C$15:$I$15)),IF(B190="Cast Rad/Conv",INDEX(RadCompList!$C$28:$D$28,MATCH(C190,RadCompList!$B$28),MATCH(Radiators!D190,RadCompList!$C$27:$D$27)),IF(B190="Copper Cabinet",(INDEX(RadCompList!$E$39:$J$78,MATCH(Radiators!D190,RadCompList!$D$39:$D$78,0),MATCH(C190,RadCompList!$E$38:$J$38,0))),0))))*E190,0)*$A$2</f>
        <v>0</v>
      </c>
      <c r="I190" s="34">
        <f t="shared" si="9"/>
        <v>0</v>
      </c>
      <c r="J190" s="35">
        <f>IFERROR(VLOOKUP(G190,VentList!$A$1:$D$198,2,FALSE),0)</f>
        <v>0</v>
      </c>
      <c r="K190" s="26">
        <f>IFERROR(VLOOKUP(B190,RadCompList!$P$3:$Q$6,2,FALSE)*H190,0)</f>
        <v>0</v>
      </c>
      <c r="L190" s="26" t="str">
        <f t="shared" si="12"/>
        <v>3/4</v>
      </c>
      <c r="M190" s="37">
        <f>Main!$G$8-0.0001306*N190^2 * F190*(1+3.6/VLOOKUP(L190,Calculations!$B$4:$F$15,2,FALSE))/(3600*Main!$C$7*VLOOKUP(L190,Calculations!$B$4:$F$15,2,FALSE)^5)</f>
        <v>0.14820436411902377</v>
      </c>
      <c r="N190" s="37">
        <f t="shared" si="10"/>
        <v>0</v>
      </c>
      <c r="O190" s="37">
        <f>IF(H190&lt;32,SteamProperties!$F$24*Radiators!F190,IF(H190&lt;56,SteamProperties!$F$25*Radiators!F190,SteamProperties!$F$26*Radiators!F190))</f>
        <v>0</v>
      </c>
      <c r="P190" s="37">
        <f>IF(H190&lt;32,Calculations!$F$5*Radiators!F190,IF(H190&lt;56,Calculations!$F$6*Radiators!F190,Calculations!$F$7*Radiators!F190))</f>
        <v>0</v>
      </c>
      <c r="Q190" s="37">
        <f t="shared" si="11"/>
        <v>0</v>
      </c>
    </row>
    <row r="191" spans="2:17">
      <c r="B191" s="33"/>
      <c r="C191" s="34"/>
      <c r="D191" s="34"/>
      <c r="E191" s="34"/>
      <c r="F191" s="34"/>
      <c r="G191" s="34"/>
      <c r="H191" s="34">
        <f>IFERROR(IF(B191="Column",INDEX(RadCompList!$C$4:$G$13,MATCH(C191,RadCompList!$B$4:$B$13),MATCH(Radiators!D191,RadCompList!$C$3:$G$3)),IF(B191="Tube",INDEX(RadCompList!$C$16:$I$22,MATCH(C191,RadCompList!$B$16:$B$22),MATCH(Radiators!D191,RadCompList!$C$15:$I$15)),IF(B191="Cast Rad/Conv",INDEX(RadCompList!$C$28:$D$28,MATCH(C191,RadCompList!$B$28),MATCH(Radiators!D191,RadCompList!$C$27:$D$27)),IF(B191="Copper Cabinet",(INDEX(RadCompList!$E$39:$J$78,MATCH(Radiators!D191,RadCompList!$D$39:$D$78,0),MATCH(C191,RadCompList!$E$38:$J$38,0))),0))))*E191,0)*$A$2</f>
        <v>0</v>
      </c>
      <c r="I191" s="34">
        <f t="shared" si="9"/>
        <v>0</v>
      </c>
      <c r="J191" s="35">
        <f>IFERROR(VLOOKUP(G191,VentList!$A$1:$D$198,2,FALSE),0)</f>
        <v>0</v>
      </c>
      <c r="K191" s="26">
        <f>IFERROR(VLOOKUP(B191,RadCompList!$P$3:$Q$6,2,FALSE)*H191,0)</f>
        <v>0</v>
      </c>
      <c r="L191" s="26" t="str">
        <f t="shared" si="12"/>
        <v>3/4</v>
      </c>
      <c r="M191" s="37">
        <f>Main!$G$8-0.0001306*N191^2 * F191*(1+3.6/VLOOKUP(L191,Calculations!$B$4:$F$15,2,FALSE))/(3600*Main!$C$7*VLOOKUP(L191,Calculations!$B$4:$F$15,2,FALSE)^5)</f>
        <v>0.14820436411902377</v>
      </c>
      <c r="N191" s="37">
        <f t="shared" si="10"/>
        <v>0</v>
      </c>
      <c r="O191" s="37">
        <f>IF(H191&lt;32,SteamProperties!$F$24*Radiators!F191,IF(H191&lt;56,SteamProperties!$F$25*Radiators!F191,SteamProperties!$F$26*Radiators!F191))</f>
        <v>0</v>
      </c>
      <c r="P191" s="37">
        <f>IF(H191&lt;32,Calculations!$F$5*Radiators!F191,IF(H191&lt;56,Calculations!$F$6*Radiators!F191,Calculations!$F$7*Radiators!F191))</f>
        <v>0</v>
      </c>
      <c r="Q191" s="37">
        <f t="shared" si="11"/>
        <v>0</v>
      </c>
    </row>
    <row r="192" spans="2:17">
      <c r="B192" s="33"/>
      <c r="C192" s="34"/>
      <c r="D192" s="34"/>
      <c r="E192" s="34"/>
      <c r="F192" s="34"/>
      <c r="G192" s="34"/>
      <c r="H192" s="34">
        <f>IFERROR(IF(B192="Column",INDEX(RadCompList!$C$4:$G$13,MATCH(C192,RadCompList!$B$4:$B$13),MATCH(Radiators!D192,RadCompList!$C$3:$G$3)),IF(B192="Tube",INDEX(RadCompList!$C$16:$I$22,MATCH(C192,RadCompList!$B$16:$B$22),MATCH(Radiators!D192,RadCompList!$C$15:$I$15)),IF(B192="Cast Rad/Conv",INDEX(RadCompList!$C$28:$D$28,MATCH(C192,RadCompList!$B$28),MATCH(Radiators!D192,RadCompList!$C$27:$D$27)),IF(B192="Copper Cabinet",(INDEX(RadCompList!$E$39:$J$78,MATCH(Radiators!D192,RadCompList!$D$39:$D$78,0),MATCH(C192,RadCompList!$E$38:$J$38,0))),0))))*E192,0)*$A$2</f>
        <v>0</v>
      </c>
      <c r="I192" s="34">
        <f t="shared" si="9"/>
        <v>0</v>
      </c>
      <c r="J192" s="35">
        <f>IFERROR(VLOOKUP(G192,VentList!$A$1:$D$198,2,FALSE),0)</f>
        <v>0</v>
      </c>
      <c r="K192" s="26">
        <f>IFERROR(VLOOKUP(B192,RadCompList!$P$3:$Q$6,2,FALSE)*H192,0)</f>
        <v>0</v>
      </c>
      <c r="L192" s="26" t="str">
        <f t="shared" si="12"/>
        <v>3/4</v>
      </c>
      <c r="M192" s="37">
        <f>Main!$G$8-0.0001306*N192^2 * F192*(1+3.6/VLOOKUP(L192,Calculations!$B$4:$F$15,2,FALSE))/(3600*Main!$C$7*VLOOKUP(L192,Calculations!$B$4:$F$15,2,FALSE)^5)</f>
        <v>0.14820436411902377</v>
      </c>
      <c r="N192" s="37">
        <f t="shared" si="10"/>
        <v>0</v>
      </c>
      <c r="O192" s="37">
        <f>IF(H192&lt;32,SteamProperties!$F$24*Radiators!F192,IF(H192&lt;56,SteamProperties!$F$25*Radiators!F192,SteamProperties!$F$26*Radiators!F192))</f>
        <v>0</v>
      </c>
      <c r="P192" s="37">
        <f>IF(H192&lt;32,Calculations!$F$5*Radiators!F192,IF(H192&lt;56,Calculations!$F$6*Radiators!F192,Calculations!$F$7*Radiators!F192))</f>
        <v>0</v>
      </c>
      <c r="Q192" s="37">
        <f t="shared" si="11"/>
        <v>0</v>
      </c>
    </row>
    <row r="193" spans="2:17">
      <c r="B193" s="33"/>
      <c r="C193" s="34"/>
      <c r="D193" s="34"/>
      <c r="E193" s="34"/>
      <c r="F193" s="34"/>
      <c r="G193" s="34"/>
      <c r="H193" s="34">
        <f>IFERROR(IF(B193="Column",INDEX(RadCompList!$C$4:$G$13,MATCH(C193,RadCompList!$B$4:$B$13),MATCH(Radiators!D193,RadCompList!$C$3:$G$3)),IF(B193="Tube",INDEX(RadCompList!$C$16:$I$22,MATCH(C193,RadCompList!$B$16:$B$22),MATCH(Radiators!D193,RadCompList!$C$15:$I$15)),IF(B193="Cast Rad/Conv",INDEX(RadCompList!$C$28:$D$28,MATCH(C193,RadCompList!$B$28),MATCH(Radiators!D193,RadCompList!$C$27:$D$27)),IF(B193="Copper Cabinet",(INDEX(RadCompList!$E$39:$J$78,MATCH(Radiators!D193,RadCompList!$D$39:$D$78,0),MATCH(C193,RadCompList!$E$38:$J$38,0))),0))))*E193,0)*$A$2</f>
        <v>0</v>
      </c>
      <c r="I193" s="34">
        <f t="shared" si="9"/>
        <v>0</v>
      </c>
      <c r="J193" s="35">
        <f>IFERROR(VLOOKUP(G193,VentList!$A$1:$D$198,2,FALSE),0)</f>
        <v>0</v>
      </c>
      <c r="K193" s="26">
        <f>IFERROR(VLOOKUP(B193,RadCompList!$P$3:$Q$6,2,FALSE)*H193,0)</f>
        <v>0</v>
      </c>
      <c r="L193" s="26" t="str">
        <f t="shared" si="12"/>
        <v>3/4</v>
      </c>
      <c r="M193" s="37">
        <f>Main!$G$8-0.0001306*N193^2 * F193*(1+3.6/VLOOKUP(L193,Calculations!$B$4:$F$15,2,FALSE))/(3600*Main!$C$7*VLOOKUP(L193,Calculations!$B$4:$F$15,2,FALSE)^5)</f>
        <v>0.14820436411902377</v>
      </c>
      <c r="N193" s="37">
        <f t="shared" si="10"/>
        <v>0</v>
      </c>
      <c r="O193" s="37">
        <f>IF(H193&lt;32,SteamProperties!$F$24*Radiators!F193,IF(H193&lt;56,SteamProperties!$F$25*Radiators!F193,SteamProperties!$F$26*Radiators!F193))</f>
        <v>0</v>
      </c>
      <c r="P193" s="37">
        <f>IF(H193&lt;32,Calculations!$F$5*Radiators!F193,IF(H193&lt;56,Calculations!$F$6*Radiators!F193,Calculations!$F$7*Radiators!F193))</f>
        <v>0</v>
      </c>
      <c r="Q193" s="37">
        <f t="shared" si="11"/>
        <v>0</v>
      </c>
    </row>
    <row r="194" spans="2:17">
      <c r="B194" s="33"/>
      <c r="C194" s="34"/>
      <c r="D194" s="34"/>
      <c r="E194" s="34"/>
      <c r="F194" s="34"/>
      <c r="G194" s="34"/>
      <c r="H194" s="34">
        <f>IFERROR(IF(B194="Column",INDEX(RadCompList!$C$4:$G$13,MATCH(C194,RadCompList!$B$4:$B$13),MATCH(Radiators!D194,RadCompList!$C$3:$G$3)),IF(B194="Tube",INDEX(RadCompList!$C$16:$I$22,MATCH(C194,RadCompList!$B$16:$B$22),MATCH(Radiators!D194,RadCompList!$C$15:$I$15)),IF(B194="Cast Rad/Conv",INDEX(RadCompList!$C$28:$D$28,MATCH(C194,RadCompList!$B$28),MATCH(Radiators!D194,RadCompList!$C$27:$D$27)),IF(B194="Copper Cabinet",(INDEX(RadCompList!$E$39:$J$78,MATCH(Radiators!D194,RadCompList!$D$39:$D$78,0),MATCH(C194,RadCompList!$E$38:$J$38,0))),0))))*E194,0)*$A$2</f>
        <v>0</v>
      </c>
      <c r="I194" s="34">
        <f t="shared" si="9"/>
        <v>0</v>
      </c>
      <c r="J194" s="35">
        <f>IFERROR(VLOOKUP(G194,VentList!$A$1:$D$198,2,FALSE),0)</f>
        <v>0</v>
      </c>
      <c r="K194" s="26">
        <f>IFERROR(VLOOKUP(B194,RadCompList!$P$3:$Q$6,2,FALSE)*H194,0)</f>
        <v>0</v>
      </c>
      <c r="L194" s="26" t="str">
        <f t="shared" si="12"/>
        <v>3/4</v>
      </c>
      <c r="M194" s="37">
        <f>Main!$G$8-0.0001306*N194^2 * F194*(1+3.6/VLOOKUP(L194,Calculations!$B$4:$F$15,2,FALSE))/(3600*Main!$C$7*VLOOKUP(L194,Calculations!$B$4:$F$15,2,FALSE)^5)</f>
        <v>0.14820436411902377</v>
      </c>
      <c r="N194" s="37">
        <f t="shared" si="10"/>
        <v>0</v>
      </c>
      <c r="O194" s="37">
        <f>IF(H194&lt;32,SteamProperties!$F$24*Radiators!F194,IF(H194&lt;56,SteamProperties!$F$25*Radiators!F194,SteamProperties!$F$26*Radiators!F194))</f>
        <v>0</v>
      </c>
      <c r="P194" s="37">
        <f>IF(H194&lt;32,Calculations!$F$5*Radiators!F194,IF(H194&lt;56,Calculations!$F$6*Radiators!F194,Calculations!$F$7*Radiators!F194))</f>
        <v>0</v>
      </c>
      <c r="Q194" s="37">
        <f t="shared" si="11"/>
        <v>0</v>
      </c>
    </row>
    <row r="195" spans="2:17">
      <c r="B195" s="33"/>
      <c r="C195" s="34"/>
      <c r="D195" s="34"/>
      <c r="E195" s="34"/>
      <c r="F195" s="34"/>
      <c r="G195" s="34"/>
      <c r="H195" s="34">
        <f>IFERROR(IF(B195="Column",INDEX(RadCompList!$C$4:$G$13,MATCH(C195,RadCompList!$B$4:$B$13),MATCH(Radiators!D195,RadCompList!$C$3:$G$3)),IF(B195="Tube",INDEX(RadCompList!$C$16:$I$22,MATCH(C195,RadCompList!$B$16:$B$22),MATCH(Radiators!D195,RadCompList!$C$15:$I$15)),IF(B195="Cast Rad/Conv",INDEX(RadCompList!$C$28:$D$28,MATCH(C195,RadCompList!$B$28),MATCH(Radiators!D195,RadCompList!$C$27:$D$27)),IF(B195="Copper Cabinet",(INDEX(RadCompList!$E$39:$J$78,MATCH(Radiators!D195,RadCompList!$D$39:$D$78,0),MATCH(C195,RadCompList!$E$38:$J$38,0))),0))))*E195,0)*$A$2</f>
        <v>0</v>
      </c>
      <c r="I195" s="34">
        <f t="shared" ref="I195:I258" si="13">IFERROR(240*H195,0)*$A$2</f>
        <v>0</v>
      </c>
      <c r="J195" s="35">
        <f>IFERROR(VLOOKUP(G195,VentList!$A$1:$D$198,2,FALSE),0)</f>
        <v>0</v>
      </c>
      <c r="K195" s="26">
        <f>IFERROR(VLOOKUP(B195,RadCompList!$P$3:$Q$6,2,FALSE)*H195,0)</f>
        <v>0</v>
      </c>
      <c r="L195" s="26" t="str">
        <f t="shared" si="12"/>
        <v>3/4</v>
      </c>
      <c r="M195" s="37">
        <f>Main!$G$8-0.0001306*N195^2 * F195*(1+3.6/VLOOKUP(L195,Calculations!$B$4:$F$15,2,FALSE))/(3600*Main!$C$7*VLOOKUP(L195,Calculations!$B$4:$F$15,2,FALSE)^5)</f>
        <v>0.14820436411902377</v>
      </c>
      <c r="N195" s="37">
        <f t="shared" ref="N195:N258" si="14">I195/(970+27)</f>
        <v>0</v>
      </c>
      <c r="O195" s="37">
        <f>IF(H195&lt;32,SteamProperties!$F$24*Radiators!F195,IF(H195&lt;56,SteamProperties!$F$25*Radiators!F195,SteamProperties!$F$26*Radiators!F195))</f>
        <v>0</v>
      </c>
      <c r="P195" s="37">
        <f>IF(H195&lt;32,Calculations!$F$5*Radiators!F195,IF(H195&lt;56,Calculations!$F$6*Radiators!F195,Calculations!$F$7*Radiators!F195))</f>
        <v>0</v>
      </c>
      <c r="Q195" s="37">
        <f t="shared" ref="Q195:Q258" si="15">I195/(970)</f>
        <v>0</v>
      </c>
    </row>
    <row r="196" spans="2:17">
      <c r="B196" s="33"/>
      <c r="C196" s="34"/>
      <c r="D196" s="34"/>
      <c r="E196" s="34"/>
      <c r="F196" s="34"/>
      <c r="G196" s="34"/>
      <c r="H196" s="34">
        <f>IFERROR(IF(B196="Column",INDEX(RadCompList!$C$4:$G$13,MATCH(C196,RadCompList!$B$4:$B$13),MATCH(Radiators!D196,RadCompList!$C$3:$G$3)),IF(B196="Tube",INDEX(RadCompList!$C$16:$I$22,MATCH(C196,RadCompList!$B$16:$B$22),MATCH(Radiators!D196,RadCompList!$C$15:$I$15)),IF(B196="Cast Rad/Conv",INDEX(RadCompList!$C$28:$D$28,MATCH(C196,RadCompList!$B$28),MATCH(Radiators!D196,RadCompList!$C$27:$D$27)),IF(B196="Copper Cabinet",(INDEX(RadCompList!$E$39:$J$78,MATCH(Radiators!D196,RadCompList!$D$39:$D$78,0),MATCH(C196,RadCompList!$E$38:$J$38,0))),0))))*E196,0)*$A$2</f>
        <v>0</v>
      </c>
      <c r="I196" s="34">
        <f t="shared" si="13"/>
        <v>0</v>
      </c>
      <c r="J196" s="35">
        <f>IFERROR(VLOOKUP(G196,VentList!$A$1:$D$198,2,FALSE),0)</f>
        <v>0</v>
      </c>
      <c r="K196" s="26">
        <f>IFERROR(VLOOKUP(B196,RadCompList!$P$3:$Q$6,2,FALSE)*H196,0)</f>
        <v>0</v>
      </c>
      <c r="L196" s="26" t="str">
        <f t="shared" si="12"/>
        <v>3/4</v>
      </c>
      <c r="M196" s="37">
        <f>Main!$G$8-0.0001306*N196^2 * F196*(1+3.6/VLOOKUP(L196,Calculations!$B$4:$F$15,2,FALSE))/(3600*Main!$C$7*VLOOKUP(L196,Calculations!$B$4:$F$15,2,FALSE)^5)</f>
        <v>0.14820436411902377</v>
      </c>
      <c r="N196" s="37">
        <f t="shared" si="14"/>
        <v>0</v>
      </c>
      <c r="O196" s="37">
        <f>IF(H196&lt;32,SteamProperties!$F$24*Radiators!F196,IF(H196&lt;56,SteamProperties!$F$25*Radiators!F196,SteamProperties!$F$26*Radiators!F196))</f>
        <v>0</v>
      </c>
      <c r="P196" s="37">
        <f>IF(H196&lt;32,Calculations!$F$5*Radiators!F196,IF(H196&lt;56,Calculations!$F$6*Radiators!F196,Calculations!$F$7*Radiators!F196))</f>
        <v>0</v>
      </c>
      <c r="Q196" s="37">
        <f t="shared" si="15"/>
        <v>0</v>
      </c>
    </row>
    <row r="197" spans="2:17">
      <c r="B197" s="33"/>
      <c r="C197" s="34"/>
      <c r="D197" s="34"/>
      <c r="E197" s="34"/>
      <c r="F197" s="34"/>
      <c r="G197" s="34"/>
      <c r="H197" s="34">
        <f>IFERROR(IF(B197="Column",INDEX(RadCompList!$C$4:$G$13,MATCH(C197,RadCompList!$B$4:$B$13),MATCH(Radiators!D197,RadCompList!$C$3:$G$3)),IF(B197="Tube",INDEX(RadCompList!$C$16:$I$22,MATCH(C197,RadCompList!$B$16:$B$22),MATCH(Radiators!D197,RadCompList!$C$15:$I$15)),IF(B197="Cast Rad/Conv",INDEX(RadCompList!$C$28:$D$28,MATCH(C197,RadCompList!$B$28),MATCH(Radiators!D197,RadCompList!$C$27:$D$27)),IF(B197="Copper Cabinet",(INDEX(RadCompList!$E$39:$J$78,MATCH(Radiators!D197,RadCompList!$D$39:$D$78,0),MATCH(C197,RadCompList!$E$38:$J$38,0))),0))))*E197,0)*$A$2</f>
        <v>0</v>
      </c>
      <c r="I197" s="34">
        <f t="shared" si="13"/>
        <v>0</v>
      </c>
      <c r="J197" s="35">
        <f>IFERROR(VLOOKUP(G197,VentList!$A$1:$D$198,2,FALSE),0)</f>
        <v>0</v>
      </c>
      <c r="K197" s="26">
        <f>IFERROR(VLOOKUP(B197,RadCompList!$P$3:$Q$6,2,FALSE)*H197,0)</f>
        <v>0</v>
      </c>
      <c r="L197" s="26" t="str">
        <f t="shared" si="12"/>
        <v>3/4</v>
      </c>
      <c r="M197" s="37">
        <f>Main!$G$8-0.0001306*N197^2 * F197*(1+3.6/VLOOKUP(L197,Calculations!$B$4:$F$15,2,FALSE))/(3600*Main!$C$7*VLOOKUP(L197,Calculations!$B$4:$F$15,2,FALSE)^5)</f>
        <v>0.14820436411902377</v>
      </c>
      <c r="N197" s="37">
        <f t="shared" si="14"/>
        <v>0</v>
      </c>
      <c r="O197" s="37">
        <f>IF(H197&lt;32,SteamProperties!$F$24*Radiators!F197,IF(H197&lt;56,SteamProperties!$F$25*Radiators!F197,SteamProperties!$F$26*Radiators!F197))</f>
        <v>0</v>
      </c>
      <c r="P197" s="37">
        <f>IF(H197&lt;32,Calculations!$F$5*Radiators!F197,IF(H197&lt;56,Calculations!$F$6*Radiators!F197,Calculations!$F$7*Radiators!F197))</f>
        <v>0</v>
      </c>
      <c r="Q197" s="37">
        <f t="shared" si="15"/>
        <v>0</v>
      </c>
    </row>
    <row r="198" spans="2:17">
      <c r="B198" s="33"/>
      <c r="C198" s="34"/>
      <c r="D198" s="34"/>
      <c r="E198" s="34"/>
      <c r="F198" s="34"/>
      <c r="G198" s="34"/>
      <c r="H198" s="34">
        <f>IFERROR(IF(B198="Column",INDEX(RadCompList!$C$4:$G$13,MATCH(C198,RadCompList!$B$4:$B$13),MATCH(Radiators!D198,RadCompList!$C$3:$G$3)),IF(B198="Tube",INDEX(RadCompList!$C$16:$I$22,MATCH(C198,RadCompList!$B$16:$B$22),MATCH(Radiators!D198,RadCompList!$C$15:$I$15)),IF(B198="Cast Rad/Conv",INDEX(RadCompList!$C$28:$D$28,MATCH(C198,RadCompList!$B$28),MATCH(Radiators!D198,RadCompList!$C$27:$D$27)),IF(B198="Copper Cabinet",(INDEX(RadCompList!$E$39:$J$78,MATCH(Radiators!D198,RadCompList!$D$39:$D$78,0),MATCH(C198,RadCompList!$E$38:$J$38,0))),0))))*E198,0)*$A$2</f>
        <v>0</v>
      </c>
      <c r="I198" s="34">
        <f t="shared" si="13"/>
        <v>0</v>
      </c>
      <c r="J198" s="35">
        <f>IFERROR(VLOOKUP(G198,VentList!$A$1:$D$198,2,FALSE),0)</f>
        <v>0</v>
      </c>
      <c r="K198" s="26">
        <f>IFERROR(VLOOKUP(B198,RadCompList!$P$3:$Q$6,2,FALSE)*H198,0)</f>
        <v>0</v>
      </c>
      <c r="L198" s="26" t="str">
        <f t="shared" ref="L198:L261" si="16">IF(H198&lt;32, "3/4",IF(H198&lt;56, "1", IF(H198&lt;124," 1 1/2",IF(H198&gt;124,"2"))))</f>
        <v>3/4</v>
      </c>
      <c r="M198" s="37">
        <f>Main!$G$8-0.0001306*N198^2 * F198*(1+3.6/VLOOKUP(L198,Calculations!$B$4:$F$15,2,FALSE))/(3600*Main!$C$7*VLOOKUP(L198,Calculations!$B$4:$F$15,2,FALSE)^5)</f>
        <v>0.14820436411902377</v>
      </c>
      <c r="N198" s="37">
        <f t="shared" si="14"/>
        <v>0</v>
      </c>
      <c r="O198" s="37">
        <f>IF(H198&lt;32,SteamProperties!$F$24*Radiators!F198,IF(H198&lt;56,SteamProperties!$F$25*Radiators!F198,SteamProperties!$F$26*Radiators!F198))</f>
        <v>0</v>
      </c>
      <c r="P198" s="37">
        <f>IF(H198&lt;32,Calculations!$F$5*Radiators!F198,IF(H198&lt;56,Calculations!$F$6*Radiators!F198,Calculations!$F$7*Radiators!F198))</f>
        <v>0</v>
      </c>
      <c r="Q198" s="37">
        <f t="shared" si="15"/>
        <v>0</v>
      </c>
    </row>
    <row r="199" spans="2:17">
      <c r="B199" s="33"/>
      <c r="C199" s="34"/>
      <c r="D199" s="34"/>
      <c r="E199" s="34"/>
      <c r="F199" s="34"/>
      <c r="G199" s="34"/>
      <c r="H199" s="34">
        <f>IFERROR(IF(B199="Column",INDEX(RadCompList!$C$4:$G$13,MATCH(C199,RadCompList!$B$4:$B$13),MATCH(Radiators!D199,RadCompList!$C$3:$G$3)),IF(B199="Tube",INDEX(RadCompList!$C$16:$I$22,MATCH(C199,RadCompList!$B$16:$B$22),MATCH(Radiators!D199,RadCompList!$C$15:$I$15)),IF(B199="Cast Rad/Conv",INDEX(RadCompList!$C$28:$D$28,MATCH(C199,RadCompList!$B$28),MATCH(Radiators!D199,RadCompList!$C$27:$D$27)),IF(B199="Copper Cabinet",(INDEX(RadCompList!$E$39:$J$78,MATCH(Radiators!D199,RadCompList!$D$39:$D$78,0),MATCH(C199,RadCompList!$E$38:$J$38,0))),0))))*E199,0)*$A$2</f>
        <v>0</v>
      </c>
      <c r="I199" s="34">
        <f t="shared" si="13"/>
        <v>0</v>
      </c>
      <c r="J199" s="35">
        <f>IFERROR(VLOOKUP(G199,VentList!$A$1:$D$198,2,FALSE),0)</f>
        <v>0</v>
      </c>
      <c r="K199" s="26">
        <f>IFERROR(VLOOKUP(B199,RadCompList!$P$3:$Q$6,2,FALSE)*H199,0)</f>
        <v>0</v>
      </c>
      <c r="L199" s="26" t="str">
        <f t="shared" si="16"/>
        <v>3/4</v>
      </c>
      <c r="M199" s="37">
        <f>Main!$G$8-0.0001306*N199^2 * F199*(1+3.6/VLOOKUP(L199,Calculations!$B$4:$F$15,2,FALSE))/(3600*Main!$C$7*VLOOKUP(L199,Calculations!$B$4:$F$15,2,FALSE)^5)</f>
        <v>0.14820436411902377</v>
      </c>
      <c r="N199" s="37">
        <f t="shared" si="14"/>
        <v>0</v>
      </c>
      <c r="O199" s="37">
        <f>IF(H199&lt;32,SteamProperties!$F$24*Radiators!F199,IF(H199&lt;56,SteamProperties!$F$25*Radiators!F199,SteamProperties!$F$26*Radiators!F199))</f>
        <v>0</v>
      </c>
      <c r="P199" s="37">
        <f>IF(H199&lt;32,Calculations!$F$5*Radiators!F199,IF(H199&lt;56,Calculations!$F$6*Radiators!F199,Calculations!$F$7*Radiators!F199))</f>
        <v>0</v>
      </c>
      <c r="Q199" s="37">
        <f t="shared" si="15"/>
        <v>0</v>
      </c>
    </row>
    <row r="200" spans="2:17">
      <c r="B200" s="33"/>
      <c r="C200" s="34"/>
      <c r="D200" s="34"/>
      <c r="E200" s="34"/>
      <c r="F200" s="34"/>
      <c r="G200" s="34"/>
      <c r="H200" s="34">
        <f>IFERROR(IF(B200="Column",INDEX(RadCompList!$C$4:$G$13,MATCH(C200,RadCompList!$B$4:$B$13),MATCH(Radiators!D200,RadCompList!$C$3:$G$3)),IF(B200="Tube",INDEX(RadCompList!$C$16:$I$22,MATCH(C200,RadCompList!$B$16:$B$22),MATCH(Radiators!D200,RadCompList!$C$15:$I$15)),IF(B200="Cast Rad/Conv",INDEX(RadCompList!$C$28:$D$28,MATCH(C200,RadCompList!$B$28),MATCH(Radiators!D200,RadCompList!$C$27:$D$27)),IF(B200="Copper Cabinet",(INDEX(RadCompList!$E$39:$J$78,MATCH(Radiators!D200,RadCompList!$D$39:$D$78,0),MATCH(C200,RadCompList!$E$38:$J$38,0))),0))))*E200,0)*$A$2</f>
        <v>0</v>
      </c>
      <c r="I200" s="34">
        <f t="shared" si="13"/>
        <v>0</v>
      </c>
      <c r="J200" s="35">
        <f>IFERROR(VLOOKUP(G200,VentList!$A$1:$D$198,2,FALSE),0)</f>
        <v>0</v>
      </c>
      <c r="K200" s="26">
        <f>IFERROR(VLOOKUP(B200,RadCompList!$P$3:$Q$6,2,FALSE)*H200,0)</f>
        <v>0</v>
      </c>
      <c r="L200" s="26" t="str">
        <f t="shared" si="16"/>
        <v>3/4</v>
      </c>
      <c r="M200" s="37">
        <f>Main!$G$8-0.0001306*N200^2 * F200*(1+3.6/VLOOKUP(L200,Calculations!$B$4:$F$15,2,FALSE))/(3600*Main!$C$7*VLOOKUP(L200,Calculations!$B$4:$F$15,2,FALSE)^5)</f>
        <v>0.14820436411902377</v>
      </c>
      <c r="N200" s="37">
        <f t="shared" si="14"/>
        <v>0</v>
      </c>
      <c r="O200" s="37">
        <f>IF(H200&lt;32,SteamProperties!$F$24*Radiators!F200,IF(H200&lt;56,SteamProperties!$F$25*Radiators!F200,SteamProperties!$F$26*Radiators!F200))</f>
        <v>0</v>
      </c>
      <c r="P200" s="37">
        <f>IF(H200&lt;32,Calculations!$F$5*Radiators!F200,IF(H200&lt;56,Calculations!$F$6*Radiators!F200,Calculations!$F$7*Radiators!F200))</f>
        <v>0</v>
      </c>
      <c r="Q200" s="37">
        <f t="shared" si="15"/>
        <v>0</v>
      </c>
    </row>
    <row r="201" spans="2:17">
      <c r="B201" s="33"/>
      <c r="C201" s="34"/>
      <c r="D201" s="34"/>
      <c r="E201" s="34"/>
      <c r="F201" s="34"/>
      <c r="G201" s="34"/>
      <c r="H201" s="34">
        <f>IFERROR(IF(B201="Column",INDEX(RadCompList!$C$4:$G$13,MATCH(C201,RadCompList!$B$4:$B$13),MATCH(Radiators!D201,RadCompList!$C$3:$G$3)),IF(B201="Tube",INDEX(RadCompList!$C$16:$I$22,MATCH(C201,RadCompList!$B$16:$B$22),MATCH(Radiators!D201,RadCompList!$C$15:$I$15)),IF(B201="Cast Rad/Conv",INDEX(RadCompList!$C$28:$D$28,MATCH(C201,RadCompList!$B$28),MATCH(Radiators!D201,RadCompList!$C$27:$D$27)),IF(B201="Copper Cabinet",(INDEX(RadCompList!$E$39:$J$78,MATCH(Radiators!D201,RadCompList!$D$39:$D$78,0),MATCH(C201,RadCompList!$E$38:$J$38,0))),0))))*E201,0)*$A$2</f>
        <v>0</v>
      </c>
      <c r="I201" s="34">
        <f t="shared" si="13"/>
        <v>0</v>
      </c>
      <c r="J201" s="35">
        <f>IFERROR(VLOOKUP(G201,VentList!$A$1:$D$198,2,FALSE),0)</f>
        <v>0</v>
      </c>
      <c r="K201" s="26">
        <f>IFERROR(VLOOKUP(B201,RadCompList!$P$3:$Q$6,2,FALSE)*H201,0)</f>
        <v>0</v>
      </c>
      <c r="L201" s="26" t="str">
        <f t="shared" si="16"/>
        <v>3/4</v>
      </c>
      <c r="M201" s="37">
        <f>Main!$G$8-0.0001306*N201^2 * F201*(1+3.6/VLOOKUP(L201,Calculations!$B$4:$F$15,2,FALSE))/(3600*Main!$C$7*VLOOKUP(L201,Calculations!$B$4:$F$15,2,FALSE)^5)</f>
        <v>0.14820436411902377</v>
      </c>
      <c r="N201" s="37">
        <f t="shared" si="14"/>
        <v>0</v>
      </c>
      <c r="O201" s="37">
        <f>IF(H201&lt;32,SteamProperties!$F$24*Radiators!F201,IF(H201&lt;56,SteamProperties!$F$25*Radiators!F201,SteamProperties!$F$26*Radiators!F201))</f>
        <v>0</v>
      </c>
      <c r="P201" s="37">
        <f>IF(H201&lt;32,Calculations!$F$5*Radiators!F201,IF(H201&lt;56,Calculations!$F$6*Radiators!F201,Calculations!$F$7*Radiators!F201))</f>
        <v>0</v>
      </c>
      <c r="Q201" s="37">
        <f t="shared" si="15"/>
        <v>0</v>
      </c>
    </row>
    <row r="202" spans="2:17">
      <c r="B202" s="33"/>
      <c r="C202" s="34"/>
      <c r="D202" s="34"/>
      <c r="E202" s="34"/>
      <c r="F202" s="34"/>
      <c r="G202" s="34"/>
      <c r="H202" s="34">
        <f>IFERROR(IF(B202="Column",INDEX(RadCompList!$C$4:$G$13,MATCH(C202,RadCompList!$B$4:$B$13),MATCH(Radiators!D202,RadCompList!$C$3:$G$3)),IF(B202="Tube",INDEX(RadCompList!$C$16:$I$22,MATCH(C202,RadCompList!$B$16:$B$22),MATCH(Radiators!D202,RadCompList!$C$15:$I$15)),IF(B202="Cast Rad/Conv",INDEX(RadCompList!$C$28:$D$28,MATCH(C202,RadCompList!$B$28),MATCH(Radiators!D202,RadCompList!$C$27:$D$27)),IF(B202="Copper Cabinet",(INDEX(RadCompList!$E$39:$J$78,MATCH(Radiators!D202,RadCompList!$D$39:$D$78,0),MATCH(C202,RadCompList!$E$38:$J$38,0))),0))))*E202,0)*$A$2</f>
        <v>0</v>
      </c>
      <c r="I202" s="34">
        <f t="shared" si="13"/>
        <v>0</v>
      </c>
      <c r="J202" s="35">
        <f>IFERROR(VLOOKUP(G202,VentList!$A$1:$D$198,2,FALSE),0)</f>
        <v>0</v>
      </c>
      <c r="K202" s="26">
        <f>IFERROR(VLOOKUP(B202,RadCompList!$P$3:$Q$6,2,FALSE)*H202,0)</f>
        <v>0</v>
      </c>
      <c r="L202" s="26" t="str">
        <f t="shared" si="16"/>
        <v>3/4</v>
      </c>
      <c r="M202" s="37">
        <f>Main!$G$8-0.0001306*N202^2 * F202*(1+3.6/VLOOKUP(L202,Calculations!$B$4:$F$15,2,FALSE))/(3600*Main!$C$7*VLOOKUP(L202,Calculations!$B$4:$F$15,2,FALSE)^5)</f>
        <v>0.14820436411902377</v>
      </c>
      <c r="N202" s="37">
        <f t="shared" si="14"/>
        <v>0</v>
      </c>
      <c r="O202" s="37">
        <f>IF(H202&lt;32,SteamProperties!$F$24*Radiators!F202,IF(H202&lt;56,SteamProperties!$F$25*Radiators!F202,SteamProperties!$F$26*Radiators!F202))</f>
        <v>0</v>
      </c>
      <c r="P202" s="37">
        <f>IF(H202&lt;32,Calculations!$F$5*Radiators!F202,IF(H202&lt;56,Calculations!$F$6*Radiators!F202,Calculations!$F$7*Radiators!F202))</f>
        <v>0</v>
      </c>
      <c r="Q202" s="37">
        <f t="shared" si="15"/>
        <v>0</v>
      </c>
    </row>
    <row r="203" spans="2:17">
      <c r="B203" s="33"/>
      <c r="C203" s="34"/>
      <c r="D203" s="34"/>
      <c r="E203" s="34"/>
      <c r="F203" s="34"/>
      <c r="G203" s="34"/>
      <c r="H203" s="34">
        <f>IFERROR(IF(B203="Column",INDEX(RadCompList!$C$4:$G$13,MATCH(C203,RadCompList!$B$4:$B$13),MATCH(Radiators!D203,RadCompList!$C$3:$G$3)),IF(B203="Tube",INDEX(RadCompList!$C$16:$I$22,MATCH(C203,RadCompList!$B$16:$B$22),MATCH(Radiators!D203,RadCompList!$C$15:$I$15)),IF(B203="Cast Rad/Conv",INDEX(RadCompList!$C$28:$D$28,MATCH(C203,RadCompList!$B$28),MATCH(Radiators!D203,RadCompList!$C$27:$D$27)),IF(B203="Copper Cabinet",(INDEX(RadCompList!$E$39:$J$78,MATCH(Radiators!D203,RadCompList!$D$39:$D$78,0),MATCH(C203,RadCompList!$E$38:$J$38,0))),0))))*E203,0)*$A$2</f>
        <v>0</v>
      </c>
      <c r="I203" s="34">
        <f t="shared" si="13"/>
        <v>0</v>
      </c>
      <c r="J203" s="35">
        <f>IFERROR(VLOOKUP(G203,VentList!$A$1:$D$198,2,FALSE),0)</f>
        <v>0</v>
      </c>
      <c r="K203" s="26">
        <f>IFERROR(VLOOKUP(B203,RadCompList!$P$3:$Q$6,2,FALSE)*H203,0)</f>
        <v>0</v>
      </c>
      <c r="L203" s="26" t="str">
        <f t="shared" si="16"/>
        <v>3/4</v>
      </c>
      <c r="M203" s="37">
        <f>Main!$G$8-0.0001306*N203^2 * F203*(1+3.6/VLOOKUP(L203,Calculations!$B$4:$F$15,2,FALSE))/(3600*Main!$C$7*VLOOKUP(L203,Calculations!$B$4:$F$15,2,FALSE)^5)</f>
        <v>0.14820436411902377</v>
      </c>
      <c r="N203" s="37">
        <f t="shared" si="14"/>
        <v>0</v>
      </c>
      <c r="O203" s="37">
        <f>IF(H203&lt;32,SteamProperties!$F$24*Radiators!F203,IF(H203&lt;56,SteamProperties!$F$25*Radiators!F203,SteamProperties!$F$26*Radiators!F203))</f>
        <v>0</v>
      </c>
      <c r="P203" s="37">
        <f>IF(H203&lt;32,Calculations!$F$5*Radiators!F203,IF(H203&lt;56,Calculations!$F$6*Radiators!F203,Calculations!$F$7*Radiators!F203))</f>
        <v>0</v>
      </c>
      <c r="Q203" s="37">
        <f t="shared" si="15"/>
        <v>0</v>
      </c>
    </row>
    <row r="204" spans="2:17">
      <c r="B204" s="33"/>
      <c r="C204" s="34"/>
      <c r="D204" s="34"/>
      <c r="E204" s="34"/>
      <c r="F204" s="34"/>
      <c r="G204" s="34"/>
      <c r="H204" s="34">
        <f>IFERROR(IF(B204="Column",INDEX(RadCompList!$C$4:$G$13,MATCH(C204,RadCompList!$B$4:$B$13),MATCH(Radiators!D204,RadCompList!$C$3:$G$3)),IF(B204="Tube",INDEX(RadCompList!$C$16:$I$22,MATCH(C204,RadCompList!$B$16:$B$22),MATCH(Radiators!D204,RadCompList!$C$15:$I$15)),IF(B204="Cast Rad/Conv",INDEX(RadCompList!$C$28:$D$28,MATCH(C204,RadCompList!$B$28),MATCH(Radiators!D204,RadCompList!$C$27:$D$27)),IF(B204="Copper Cabinet",(INDEX(RadCompList!$E$39:$J$78,MATCH(Radiators!D204,RadCompList!$D$39:$D$78,0),MATCH(C204,RadCompList!$E$38:$J$38,0))),0))))*E204,0)*$A$2</f>
        <v>0</v>
      </c>
      <c r="I204" s="34">
        <f t="shared" si="13"/>
        <v>0</v>
      </c>
      <c r="J204" s="35">
        <f>IFERROR(VLOOKUP(G204,VentList!$A$1:$D$198,2,FALSE),0)</f>
        <v>0</v>
      </c>
      <c r="K204" s="26">
        <f>IFERROR(VLOOKUP(B204,RadCompList!$P$3:$Q$6,2,FALSE)*H204,0)</f>
        <v>0</v>
      </c>
      <c r="L204" s="26" t="str">
        <f t="shared" si="16"/>
        <v>3/4</v>
      </c>
      <c r="M204" s="37">
        <f>Main!$G$8-0.0001306*N204^2 * F204*(1+3.6/VLOOKUP(L204,Calculations!$B$4:$F$15,2,FALSE))/(3600*Main!$C$7*VLOOKUP(L204,Calculations!$B$4:$F$15,2,FALSE)^5)</f>
        <v>0.14820436411902377</v>
      </c>
      <c r="N204" s="37">
        <f t="shared" si="14"/>
        <v>0</v>
      </c>
      <c r="O204" s="37">
        <f>IF(H204&lt;32,SteamProperties!$F$24*Radiators!F204,IF(H204&lt;56,SteamProperties!$F$25*Radiators!F204,SteamProperties!$F$26*Radiators!F204))</f>
        <v>0</v>
      </c>
      <c r="P204" s="37">
        <f>IF(H204&lt;32,Calculations!$F$5*Radiators!F204,IF(H204&lt;56,Calculations!$F$6*Radiators!F204,Calculations!$F$7*Radiators!F204))</f>
        <v>0</v>
      </c>
      <c r="Q204" s="37">
        <f t="shared" si="15"/>
        <v>0</v>
      </c>
    </row>
    <row r="205" spans="2:17">
      <c r="B205" s="33"/>
      <c r="C205" s="34"/>
      <c r="D205" s="34"/>
      <c r="E205" s="34"/>
      <c r="F205" s="34"/>
      <c r="G205" s="34"/>
      <c r="H205" s="34">
        <f>IFERROR(IF(B205="Column",INDEX(RadCompList!$C$4:$G$13,MATCH(C205,RadCompList!$B$4:$B$13),MATCH(Radiators!D205,RadCompList!$C$3:$G$3)),IF(B205="Tube",INDEX(RadCompList!$C$16:$I$22,MATCH(C205,RadCompList!$B$16:$B$22),MATCH(Radiators!D205,RadCompList!$C$15:$I$15)),IF(B205="Cast Rad/Conv",INDEX(RadCompList!$C$28:$D$28,MATCH(C205,RadCompList!$B$28),MATCH(Radiators!D205,RadCompList!$C$27:$D$27)),IF(B205="Copper Cabinet",(INDEX(RadCompList!$E$39:$J$78,MATCH(Radiators!D205,RadCompList!$D$39:$D$78,0),MATCH(C205,RadCompList!$E$38:$J$38,0))),0))))*E205,0)*$A$2</f>
        <v>0</v>
      </c>
      <c r="I205" s="34">
        <f t="shared" si="13"/>
        <v>0</v>
      </c>
      <c r="J205" s="35">
        <f>IFERROR(VLOOKUP(G205,VentList!$A$1:$D$198,2,FALSE),0)</f>
        <v>0</v>
      </c>
      <c r="K205" s="26">
        <f>IFERROR(VLOOKUP(B205,RadCompList!$P$3:$Q$6,2,FALSE)*H205,0)</f>
        <v>0</v>
      </c>
      <c r="L205" s="26" t="str">
        <f t="shared" si="16"/>
        <v>3/4</v>
      </c>
      <c r="M205" s="37">
        <f>Main!$G$8-0.0001306*N205^2 * F205*(1+3.6/VLOOKUP(L205,Calculations!$B$4:$F$15,2,FALSE))/(3600*Main!$C$7*VLOOKUP(L205,Calculations!$B$4:$F$15,2,FALSE)^5)</f>
        <v>0.14820436411902377</v>
      </c>
      <c r="N205" s="37">
        <f t="shared" si="14"/>
        <v>0</v>
      </c>
      <c r="O205" s="37">
        <f>IF(H205&lt;32,SteamProperties!$F$24*Radiators!F205,IF(H205&lt;56,SteamProperties!$F$25*Radiators!F205,SteamProperties!$F$26*Radiators!F205))</f>
        <v>0</v>
      </c>
      <c r="P205" s="37">
        <f>IF(H205&lt;32,Calculations!$F$5*Radiators!F205,IF(H205&lt;56,Calculations!$F$6*Radiators!F205,Calculations!$F$7*Radiators!F205))</f>
        <v>0</v>
      </c>
      <c r="Q205" s="37">
        <f t="shared" si="15"/>
        <v>0</v>
      </c>
    </row>
    <row r="206" spans="2:17">
      <c r="B206" s="33"/>
      <c r="C206" s="34"/>
      <c r="D206" s="34"/>
      <c r="E206" s="34"/>
      <c r="F206" s="34"/>
      <c r="G206" s="34"/>
      <c r="H206" s="34">
        <f>IFERROR(IF(B206="Column",INDEX(RadCompList!$C$4:$G$13,MATCH(C206,RadCompList!$B$4:$B$13),MATCH(Radiators!D206,RadCompList!$C$3:$G$3)),IF(B206="Tube",INDEX(RadCompList!$C$16:$I$22,MATCH(C206,RadCompList!$B$16:$B$22),MATCH(Radiators!D206,RadCompList!$C$15:$I$15)),IF(B206="Cast Rad/Conv",INDEX(RadCompList!$C$28:$D$28,MATCH(C206,RadCompList!$B$28),MATCH(Radiators!D206,RadCompList!$C$27:$D$27)),IF(B206="Copper Cabinet",(INDEX(RadCompList!$E$39:$J$78,MATCH(Radiators!D206,RadCompList!$D$39:$D$78,0),MATCH(C206,RadCompList!$E$38:$J$38,0))),0))))*E206,0)*$A$2</f>
        <v>0</v>
      </c>
      <c r="I206" s="34">
        <f t="shared" si="13"/>
        <v>0</v>
      </c>
      <c r="J206" s="35">
        <f>IFERROR(VLOOKUP(G206,VentList!$A$1:$D$198,2,FALSE),0)</f>
        <v>0</v>
      </c>
      <c r="K206" s="26">
        <f>IFERROR(VLOOKUP(B206,RadCompList!$P$3:$Q$6,2,FALSE)*H206,0)</f>
        <v>0</v>
      </c>
      <c r="L206" s="26" t="str">
        <f t="shared" si="16"/>
        <v>3/4</v>
      </c>
      <c r="M206" s="37">
        <f>Main!$G$8-0.0001306*N206^2 * F206*(1+3.6/VLOOKUP(L206,Calculations!$B$4:$F$15,2,FALSE))/(3600*Main!$C$7*VLOOKUP(L206,Calculations!$B$4:$F$15,2,FALSE)^5)</f>
        <v>0.14820436411902377</v>
      </c>
      <c r="N206" s="37">
        <f t="shared" si="14"/>
        <v>0</v>
      </c>
      <c r="O206" s="37">
        <f>IF(H206&lt;32,SteamProperties!$F$24*Radiators!F206,IF(H206&lt;56,SteamProperties!$F$25*Radiators!F206,SteamProperties!$F$26*Radiators!F206))</f>
        <v>0</v>
      </c>
      <c r="P206" s="37">
        <f>IF(H206&lt;32,Calculations!$F$5*Radiators!F206,IF(H206&lt;56,Calculations!$F$6*Radiators!F206,Calculations!$F$7*Radiators!F206))</f>
        <v>0</v>
      </c>
      <c r="Q206" s="37">
        <f t="shared" si="15"/>
        <v>0</v>
      </c>
    </row>
    <row r="207" spans="2:17">
      <c r="B207" s="33"/>
      <c r="C207" s="34"/>
      <c r="D207" s="34"/>
      <c r="E207" s="34"/>
      <c r="F207" s="34"/>
      <c r="G207" s="34"/>
      <c r="H207" s="34">
        <f>IFERROR(IF(B207="Column",INDEX(RadCompList!$C$4:$G$13,MATCH(C207,RadCompList!$B$4:$B$13),MATCH(Radiators!D207,RadCompList!$C$3:$G$3)),IF(B207="Tube",INDEX(RadCompList!$C$16:$I$22,MATCH(C207,RadCompList!$B$16:$B$22),MATCH(Radiators!D207,RadCompList!$C$15:$I$15)),IF(B207="Cast Rad/Conv",INDEX(RadCompList!$C$28:$D$28,MATCH(C207,RadCompList!$B$28),MATCH(Radiators!D207,RadCompList!$C$27:$D$27)),IF(B207="Copper Cabinet",(INDEX(RadCompList!$E$39:$J$78,MATCH(Radiators!D207,RadCompList!$D$39:$D$78,0),MATCH(C207,RadCompList!$E$38:$J$38,0))),0))))*E207,0)*$A$2</f>
        <v>0</v>
      </c>
      <c r="I207" s="34">
        <f t="shared" si="13"/>
        <v>0</v>
      </c>
      <c r="J207" s="35">
        <f>IFERROR(VLOOKUP(G207,VentList!$A$1:$D$198,2,FALSE),0)</f>
        <v>0</v>
      </c>
      <c r="K207" s="26">
        <f>IFERROR(VLOOKUP(B207,RadCompList!$P$3:$Q$6,2,FALSE)*H207,0)</f>
        <v>0</v>
      </c>
      <c r="L207" s="26" t="str">
        <f t="shared" si="16"/>
        <v>3/4</v>
      </c>
      <c r="M207" s="37">
        <f>Main!$G$8-0.0001306*N207^2 * F207*(1+3.6/VLOOKUP(L207,Calculations!$B$4:$F$15,2,FALSE))/(3600*Main!$C$7*VLOOKUP(L207,Calculations!$B$4:$F$15,2,FALSE)^5)</f>
        <v>0.14820436411902377</v>
      </c>
      <c r="N207" s="37">
        <f t="shared" si="14"/>
        <v>0</v>
      </c>
      <c r="O207" s="37">
        <f>IF(H207&lt;32,SteamProperties!$F$24*Radiators!F207,IF(H207&lt;56,SteamProperties!$F$25*Radiators!F207,SteamProperties!$F$26*Radiators!F207))</f>
        <v>0</v>
      </c>
      <c r="P207" s="37">
        <f>IF(H207&lt;32,Calculations!$F$5*Radiators!F207,IF(H207&lt;56,Calculations!$F$6*Radiators!F207,Calculations!$F$7*Radiators!F207))</f>
        <v>0</v>
      </c>
      <c r="Q207" s="37">
        <f t="shared" si="15"/>
        <v>0</v>
      </c>
    </row>
    <row r="208" spans="2:17">
      <c r="B208" s="33"/>
      <c r="C208" s="34"/>
      <c r="D208" s="34"/>
      <c r="E208" s="34"/>
      <c r="F208" s="34"/>
      <c r="G208" s="34"/>
      <c r="H208" s="34">
        <f>IFERROR(IF(B208="Column",INDEX(RadCompList!$C$4:$G$13,MATCH(C208,RadCompList!$B$4:$B$13),MATCH(Radiators!D208,RadCompList!$C$3:$G$3)),IF(B208="Tube",INDEX(RadCompList!$C$16:$I$22,MATCH(C208,RadCompList!$B$16:$B$22),MATCH(Radiators!D208,RadCompList!$C$15:$I$15)),IF(B208="Cast Rad/Conv",INDEX(RadCompList!$C$28:$D$28,MATCH(C208,RadCompList!$B$28),MATCH(Radiators!D208,RadCompList!$C$27:$D$27)),IF(B208="Copper Cabinet",(INDEX(RadCompList!$E$39:$J$78,MATCH(Radiators!D208,RadCompList!$D$39:$D$78,0),MATCH(C208,RadCompList!$E$38:$J$38,0))),0))))*E208,0)*$A$2</f>
        <v>0</v>
      </c>
      <c r="I208" s="34">
        <f t="shared" si="13"/>
        <v>0</v>
      </c>
      <c r="J208" s="35">
        <f>IFERROR(VLOOKUP(G208,VentList!$A$1:$D$198,2,FALSE),0)</f>
        <v>0</v>
      </c>
      <c r="K208" s="26">
        <f>IFERROR(VLOOKUP(B208,RadCompList!$P$3:$Q$6,2,FALSE)*H208,0)</f>
        <v>0</v>
      </c>
      <c r="L208" s="26" t="str">
        <f t="shared" si="16"/>
        <v>3/4</v>
      </c>
      <c r="M208" s="37">
        <f>Main!$G$8-0.0001306*N208^2 * F208*(1+3.6/VLOOKUP(L208,Calculations!$B$4:$F$15,2,FALSE))/(3600*Main!$C$7*VLOOKUP(L208,Calculations!$B$4:$F$15,2,FALSE)^5)</f>
        <v>0.14820436411902377</v>
      </c>
      <c r="N208" s="37">
        <f t="shared" si="14"/>
        <v>0</v>
      </c>
      <c r="O208" s="37">
        <f>IF(H208&lt;32,SteamProperties!$F$24*Radiators!F208,IF(H208&lt;56,SteamProperties!$F$25*Radiators!F208,SteamProperties!$F$26*Radiators!F208))</f>
        <v>0</v>
      </c>
      <c r="P208" s="37">
        <f>IF(H208&lt;32,Calculations!$F$5*Radiators!F208,IF(H208&lt;56,Calculations!$F$6*Radiators!F208,Calculations!$F$7*Radiators!F208))</f>
        <v>0</v>
      </c>
      <c r="Q208" s="37">
        <f t="shared" si="15"/>
        <v>0</v>
      </c>
    </row>
    <row r="209" spans="2:17">
      <c r="B209" s="33"/>
      <c r="C209" s="34"/>
      <c r="D209" s="34"/>
      <c r="E209" s="34"/>
      <c r="F209" s="34"/>
      <c r="G209" s="34"/>
      <c r="H209" s="34">
        <f>IFERROR(IF(B209="Column",INDEX(RadCompList!$C$4:$G$13,MATCH(C209,RadCompList!$B$4:$B$13),MATCH(Radiators!D209,RadCompList!$C$3:$G$3)),IF(B209="Tube",INDEX(RadCompList!$C$16:$I$22,MATCH(C209,RadCompList!$B$16:$B$22),MATCH(Radiators!D209,RadCompList!$C$15:$I$15)),IF(B209="Cast Rad/Conv",INDEX(RadCompList!$C$28:$D$28,MATCH(C209,RadCompList!$B$28),MATCH(Radiators!D209,RadCompList!$C$27:$D$27)),IF(B209="Copper Cabinet",(INDEX(RadCompList!$E$39:$J$78,MATCH(Radiators!D209,RadCompList!$D$39:$D$78,0),MATCH(C209,RadCompList!$E$38:$J$38,0))),0))))*E209,0)*$A$2</f>
        <v>0</v>
      </c>
      <c r="I209" s="34">
        <f t="shared" si="13"/>
        <v>0</v>
      </c>
      <c r="J209" s="35">
        <f>IFERROR(VLOOKUP(G209,VentList!$A$1:$D$198,2,FALSE),0)</f>
        <v>0</v>
      </c>
      <c r="K209" s="26">
        <f>IFERROR(VLOOKUP(B209,RadCompList!$P$3:$Q$6,2,FALSE)*H209,0)</f>
        <v>0</v>
      </c>
      <c r="L209" s="26" t="str">
        <f t="shared" si="16"/>
        <v>3/4</v>
      </c>
      <c r="M209" s="37">
        <f>Main!$G$8-0.0001306*N209^2 * F209*(1+3.6/VLOOKUP(L209,Calculations!$B$4:$F$15,2,FALSE))/(3600*Main!$C$7*VLOOKUP(L209,Calculations!$B$4:$F$15,2,FALSE)^5)</f>
        <v>0.14820436411902377</v>
      </c>
      <c r="N209" s="37">
        <f t="shared" si="14"/>
        <v>0</v>
      </c>
      <c r="O209" s="37">
        <f>IF(H209&lt;32,SteamProperties!$F$24*Radiators!F209,IF(H209&lt;56,SteamProperties!$F$25*Radiators!F209,SteamProperties!$F$26*Radiators!F209))</f>
        <v>0</v>
      </c>
      <c r="P209" s="37">
        <f>IF(H209&lt;32,Calculations!$F$5*Radiators!F209,IF(H209&lt;56,Calculations!$F$6*Radiators!F209,Calculations!$F$7*Radiators!F209))</f>
        <v>0</v>
      </c>
      <c r="Q209" s="37">
        <f t="shared" si="15"/>
        <v>0</v>
      </c>
    </row>
    <row r="210" spans="2:17">
      <c r="B210" s="33"/>
      <c r="C210" s="34"/>
      <c r="D210" s="34"/>
      <c r="E210" s="34"/>
      <c r="F210" s="34"/>
      <c r="G210" s="34"/>
      <c r="H210" s="34">
        <f>IFERROR(IF(B210="Column",INDEX(RadCompList!$C$4:$G$13,MATCH(C210,RadCompList!$B$4:$B$13),MATCH(Radiators!D210,RadCompList!$C$3:$G$3)),IF(B210="Tube",INDEX(RadCompList!$C$16:$I$22,MATCH(C210,RadCompList!$B$16:$B$22),MATCH(Radiators!D210,RadCompList!$C$15:$I$15)),IF(B210="Cast Rad/Conv",INDEX(RadCompList!$C$28:$D$28,MATCH(C210,RadCompList!$B$28),MATCH(Radiators!D210,RadCompList!$C$27:$D$27)),IF(B210="Copper Cabinet",(INDEX(RadCompList!$E$39:$J$78,MATCH(Radiators!D210,RadCompList!$D$39:$D$78,0),MATCH(C210,RadCompList!$E$38:$J$38,0))),0))))*E210,0)*$A$2</f>
        <v>0</v>
      </c>
      <c r="I210" s="34">
        <f t="shared" si="13"/>
        <v>0</v>
      </c>
      <c r="J210" s="35">
        <f>IFERROR(VLOOKUP(G210,VentList!$A$1:$D$198,2,FALSE),0)</f>
        <v>0</v>
      </c>
      <c r="K210" s="26">
        <f>IFERROR(VLOOKUP(B210,RadCompList!$P$3:$Q$6,2,FALSE)*H210,0)</f>
        <v>0</v>
      </c>
      <c r="L210" s="26" t="str">
        <f t="shared" si="16"/>
        <v>3/4</v>
      </c>
      <c r="M210" s="37">
        <f>Main!$G$8-0.0001306*N210^2 * F210*(1+3.6/VLOOKUP(L210,Calculations!$B$4:$F$15,2,FALSE))/(3600*Main!$C$7*VLOOKUP(L210,Calculations!$B$4:$F$15,2,FALSE)^5)</f>
        <v>0.14820436411902377</v>
      </c>
      <c r="N210" s="37">
        <f t="shared" si="14"/>
        <v>0</v>
      </c>
      <c r="O210" s="37">
        <f>IF(H210&lt;32,SteamProperties!$F$24*Radiators!F210,IF(H210&lt;56,SteamProperties!$F$25*Radiators!F210,SteamProperties!$F$26*Radiators!F210))</f>
        <v>0</v>
      </c>
      <c r="P210" s="37">
        <f>IF(H210&lt;32,Calculations!$F$5*Radiators!F210,IF(H210&lt;56,Calculations!$F$6*Radiators!F210,Calculations!$F$7*Radiators!F210))</f>
        <v>0</v>
      </c>
      <c r="Q210" s="37">
        <f t="shared" si="15"/>
        <v>0</v>
      </c>
    </row>
    <row r="211" spans="2:17">
      <c r="B211" s="33"/>
      <c r="C211" s="34"/>
      <c r="D211" s="34"/>
      <c r="E211" s="34"/>
      <c r="F211" s="34"/>
      <c r="G211" s="34"/>
      <c r="H211" s="34">
        <f>IFERROR(IF(B211="Column",INDEX(RadCompList!$C$4:$G$13,MATCH(C211,RadCompList!$B$4:$B$13),MATCH(Radiators!D211,RadCompList!$C$3:$G$3)),IF(B211="Tube",INDEX(RadCompList!$C$16:$I$22,MATCH(C211,RadCompList!$B$16:$B$22),MATCH(Radiators!D211,RadCompList!$C$15:$I$15)),IF(B211="Cast Rad/Conv",INDEX(RadCompList!$C$28:$D$28,MATCH(C211,RadCompList!$B$28),MATCH(Radiators!D211,RadCompList!$C$27:$D$27)),IF(B211="Copper Cabinet",(INDEX(RadCompList!$E$39:$J$78,MATCH(Radiators!D211,RadCompList!$D$39:$D$78,0),MATCH(C211,RadCompList!$E$38:$J$38,0))),0))))*E211,0)*$A$2</f>
        <v>0</v>
      </c>
      <c r="I211" s="34">
        <f t="shared" si="13"/>
        <v>0</v>
      </c>
      <c r="J211" s="35">
        <f>IFERROR(VLOOKUP(G211,VentList!$A$1:$D$198,2,FALSE),0)</f>
        <v>0</v>
      </c>
      <c r="K211" s="26">
        <f>IFERROR(VLOOKUP(B211,RadCompList!$P$3:$Q$6,2,FALSE)*H211,0)</f>
        <v>0</v>
      </c>
      <c r="L211" s="26" t="str">
        <f t="shared" si="16"/>
        <v>3/4</v>
      </c>
      <c r="M211" s="37">
        <f>Main!$G$8-0.0001306*N211^2 * F211*(1+3.6/VLOOKUP(L211,Calculations!$B$4:$F$15,2,FALSE))/(3600*Main!$C$7*VLOOKUP(L211,Calculations!$B$4:$F$15,2,FALSE)^5)</f>
        <v>0.14820436411902377</v>
      </c>
      <c r="N211" s="37">
        <f t="shared" si="14"/>
        <v>0</v>
      </c>
      <c r="O211" s="37">
        <f>IF(H211&lt;32,SteamProperties!$F$24*Radiators!F211,IF(H211&lt;56,SteamProperties!$F$25*Radiators!F211,SteamProperties!$F$26*Radiators!F211))</f>
        <v>0</v>
      </c>
      <c r="P211" s="37">
        <f>IF(H211&lt;32,Calculations!$F$5*Radiators!F211,IF(H211&lt;56,Calculations!$F$6*Radiators!F211,Calculations!$F$7*Radiators!F211))</f>
        <v>0</v>
      </c>
      <c r="Q211" s="37">
        <f t="shared" si="15"/>
        <v>0</v>
      </c>
    </row>
    <row r="212" spans="2:17">
      <c r="B212" s="33"/>
      <c r="C212" s="34"/>
      <c r="D212" s="34"/>
      <c r="E212" s="34"/>
      <c r="F212" s="34"/>
      <c r="G212" s="34"/>
      <c r="H212" s="34">
        <f>IFERROR(IF(B212="Column",INDEX(RadCompList!$C$4:$G$13,MATCH(C212,RadCompList!$B$4:$B$13),MATCH(Radiators!D212,RadCompList!$C$3:$G$3)),IF(B212="Tube",INDEX(RadCompList!$C$16:$I$22,MATCH(C212,RadCompList!$B$16:$B$22),MATCH(Radiators!D212,RadCompList!$C$15:$I$15)),IF(B212="Cast Rad/Conv",INDEX(RadCompList!$C$28:$D$28,MATCH(C212,RadCompList!$B$28),MATCH(Radiators!D212,RadCompList!$C$27:$D$27)),IF(B212="Copper Cabinet",(INDEX(RadCompList!$E$39:$J$78,MATCH(Radiators!D212,RadCompList!$D$39:$D$78,0),MATCH(C212,RadCompList!$E$38:$J$38,0))),0))))*E212,0)*$A$2</f>
        <v>0</v>
      </c>
      <c r="I212" s="34">
        <f t="shared" si="13"/>
        <v>0</v>
      </c>
      <c r="J212" s="35">
        <f>IFERROR(VLOOKUP(G212,VentList!$A$1:$D$198,2,FALSE),0)</f>
        <v>0</v>
      </c>
      <c r="K212" s="26">
        <f>IFERROR(VLOOKUP(B212,RadCompList!$P$3:$Q$6,2,FALSE)*H212,0)</f>
        <v>0</v>
      </c>
      <c r="L212" s="26" t="str">
        <f t="shared" si="16"/>
        <v>3/4</v>
      </c>
      <c r="M212" s="37">
        <f>Main!$G$8-0.0001306*N212^2 * F212*(1+3.6/VLOOKUP(L212,Calculations!$B$4:$F$15,2,FALSE))/(3600*Main!$C$7*VLOOKUP(L212,Calculations!$B$4:$F$15,2,FALSE)^5)</f>
        <v>0.14820436411902377</v>
      </c>
      <c r="N212" s="37">
        <f t="shared" si="14"/>
        <v>0</v>
      </c>
      <c r="O212" s="37">
        <f>IF(H212&lt;32,SteamProperties!$F$24*Radiators!F212,IF(H212&lt;56,SteamProperties!$F$25*Radiators!F212,SteamProperties!$F$26*Radiators!F212))</f>
        <v>0</v>
      </c>
      <c r="P212" s="37">
        <f>IF(H212&lt;32,Calculations!$F$5*Radiators!F212,IF(H212&lt;56,Calculations!$F$6*Radiators!F212,Calculations!$F$7*Radiators!F212))</f>
        <v>0</v>
      </c>
      <c r="Q212" s="37">
        <f t="shared" si="15"/>
        <v>0</v>
      </c>
    </row>
    <row r="213" spans="2:17">
      <c r="B213" s="33"/>
      <c r="C213" s="34"/>
      <c r="D213" s="34"/>
      <c r="E213" s="34"/>
      <c r="F213" s="34"/>
      <c r="G213" s="34"/>
      <c r="H213" s="34">
        <f>IFERROR(IF(B213="Column",INDEX(RadCompList!$C$4:$G$13,MATCH(C213,RadCompList!$B$4:$B$13),MATCH(Radiators!D213,RadCompList!$C$3:$G$3)),IF(B213="Tube",INDEX(RadCompList!$C$16:$I$22,MATCH(C213,RadCompList!$B$16:$B$22),MATCH(Radiators!D213,RadCompList!$C$15:$I$15)),IF(B213="Cast Rad/Conv",INDEX(RadCompList!$C$28:$D$28,MATCH(C213,RadCompList!$B$28),MATCH(Radiators!D213,RadCompList!$C$27:$D$27)),IF(B213="Copper Cabinet",(INDEX(RadCompList!$E$39:$J$78,MATCH(Radiators!D213,RadCompList!$D$39:$D$78,0),MATCH(C213,RadCompList!$E$38:$J$38,0))),0))))*E213,0)*$A$2</f>
        <v>0</v>
      </c>
      <c r="I213" s="34">
        <f t="shared" si="13"/>
        <v>0</v>
      </c>
      <c r="J213" s="35">
        <f>IFERROR(VLOOKUP(G213,VentList!$A$1:$D$198,2,FALSE),0)</f>
        <v>0</v>
      </c>
      <c r="K213" s="26">
        <f>IFERROR(VLOOKUP(B213,RadCompList!$P$3:$Q$6,2,FALSE)*H213,0)</f>
        <v>0</v>
      </c>
      <c r="L213" s="26" t="str">
        <f t="shared" si="16"/>
        <v>3/4</v>
      </c>
      <c r="M213" s="37">
        <f>Main!$G$8-0.0001306*N213^2 * F213*(1+3.6/VLOOKUP(L213,Calculations!$B$4:$F$15,2,FALSE))/(3600*Main!$C$7*VLOOKUP(L213,Calculations!$B$4:$F$15,2,FALSE)^5)</f>
        <v>0.14820436411902377</v>
      </c>
      <c r="N213" s="37">
        <f t="shared" si="14"/>
        <v>0</v>
      </c>
      <c r="O213" s="37">
        <f>IF(H213&lt;32,SteamProperties!$F$24*Radiators!F213,IF(H213&lt;56,SteamProperties!$F$25*Radiators!F213,SteamProperties!$F$26*Radiators!F213))</f>
        <v>0</v>
      </c>
      <c r="P213" s="37">
        <f>IF(H213&lt;32,Calculations!$F$5*Radiators!F213,IF(H213&lt;56,Calculations!$F$6*Radiators!F213,Calculations!$F$7*Radiators!F213))</f>
        <v>0</v>
      </c>
      <c r="Q213" s="37">
        <f t="shared" si="15"/>
        <v>0</v>
      </c>
    </row>
    <row r="214" spans="2:17">
      <c r="B214" s="33"/>
      <c r="C214" s="34"/>
      <c r="D214" s="34"/>
      <c r="E214" s="34"/>
      <c r="F214" s="34"/>
      <c r="G214" s="34"/>
      <c r="H214" s="34">
        <f>IFERROR(IF(B214="Column",INDEX(RadCompList!$C$4:$G$13,MATCH(C214,RadCompList!$B$4:$B$13),MATCH(Radiators!D214,RadCompList!$C$3:$G$3)),IF(B214="Tube",INDEX(RadCompList!$C$16:$I$22,MATCH(C214,RadCompList!$B$16:$B$22),MATCH(Radiators!D214,RadCompList!$C$15:$I$15)),IF(B214="Cast Rad/Conv",INDEX(RadCompList!$C$28:$D$28,MATCH(C214,RadCompList!$B$28),MATCH(Radiators!D214,RadCompList!$C$27:$D$27)),IF(B214="Copper Cabinet",(INDEX(RadCompList!$E$39:$J$78,MATCH(Radiators!D214,RadCompList!$D$39:$D$78,0),MATCH(C214,RadCompList!$E$38:$J$38,0))),0))))*E214,0)*$A$2</f>
        <v>0</v>
      </c>
      <c r="I214" s="34">
        <f t="shared" si="13"/>
        <v>0</v>
      </c>
      <c r="J214" s="35">
        <f>IFERROR(VLOOKUP(G214,VentList!$A$1:$D$198,2,FALSE),0)</f>
        <v>0</v>
      </c>
      <c r="K214" s="26">
        <f>IFERROR(VLOOKUP(B214,RadCompList!$P$3:$Q$6,2,FALSE)*H214,0)</f>
        <v>0</v>
      </c>
      <c r="L214" s="26" t="str">
        <f t="shared" si="16"/>
        <v>3/4</v>
      </c>
      <c r="M214" s="37">
        <f>Main!$G$8-0.0001306*N214^2 * F214*(1+3.6/VLOOKUP(L214,Calculations!$B$4:$F$15,2,FALSE))/(3600*Main!$C$7*VLOOKUP(L214,Calculations!$B$4:$F$15,2,FALSE)^5)</f>
        <v>0.14820436411902377</v>
      </c>
      <c r="N214" s="37">
        <f t="shared" si="14"/>
        <v>0</v>
      </c>
      <c r="O214" s="37">
        <f>IF(H214&lt;32,SteamProperties!$F$24*Radiators!F214,IF(H214&lt;56,SteamProperties!$F$25*Radiators!F214,SteamProperties!$F$26*Radiators!F214))</f>
        <v>0</v>
      </c>
      <c r="P214" s="37">
        <f>IF(H214&lt;32,Calculations!$F$5*Radiators!F214,IF(H214&lt;56,Calculations!$F$6*Radiators!F214,Calculations!$F$7*Radiators!F214))</f>
        <v>0</v>
      </c>
      <c r="Q214" s="37">
        <f t="shared" si="15"/>
        <v>0</v>
      </c>
    </row>
    <row r="215" spans="2:17">
      <c r="B215" s="33"/>
      <c r="C215" s="34"/>
      <c r="D215" s="34"/>
      <c r="E215" s="34"/>
      <c r="F215" s="34"/>
      <c r="G215" s="34"/>
      <c r="H215" s="34">
        <f>IFERROR(IF(B215="Column",INDEX(RadCompList!$C$4:$G$13,MATCH(C215,RadCompList!$B$4:$B$13),MATCH(Radiators!D215,RadCompList!$C$3:$G$3)),IF(B215="Tube",INDEX(RadCompList!$C$16:$I$22,MATCH(C215,RadCompList!$B$16:$B$22),MATCH(Radiators!D215,RadCompList!$C$15:$I$15)),IF(B215="Cast Rad/Conv",INDEX(RadCompList!$C$28:$D$28,MATCH(C215,RadCompList!$B$28),MATCH(Radiators!D215,RadCompList!$C$27:$D$27)),IF(B215="Copper Cabinet",(INDEX(RadCompList!$E$39:$J$78,MATCH(Radiators!D215,RadCompList!$D$39:$D$78,0),MATCH(C215,RadCompList!$E$38:$J$38,0))),0))))*E215,0)*$A$2</f>
        <v>0</v>
      </c>
      <c r="I215" s="34">
        <f t="shared" si="13"/>
        <v>0</v>
      </c>
      <c r="J215" s="35">
        <f>IFERROR(VLOOKUP(G215,VentList!$A$1:$D$198,2,FALSE),0)</f>
        <v>0</v>
      </c>
      <c r="K215" s="26">
        <f>IFERROR(VLOOKUP(B215,RadCompList!$P$3:$Q$6,2,FALSE)*H215,0)</f>
        <v>0</v>
      </c>
      <c r="L215" s="26" t="str">
        <f t="shared" si="16"/>
        <v>3/4</v>
      </c>
      <c r="M215" s="37">
        <f>Main!$G$8-0.0001306*N215^2 * F215*(1+3.6/VLOOKUP(L215,Calculations!$B$4:$F$15,2,FALSE))/(3600*Main!$C$7*VLOOKUP(L215,Calculations!$B$4:$F$15,2,FALSE)^5)</f>
        <v>0.14820436411902377</v>
      </c>
      <c r="N215" s="37">
        <f t="shared" si="14"/>
        <v>0</v>
      </c>
      <c r="O215" s="37">
        <f>IF(H215&lt;32,SteamProperties!$F$24*Radiators!F215,IF(H215&lt;56,SteamProperties!$F$25*Radiators!F215,SteamProperties!$F$26*Radiators!F215))</f>
        <v>0</v>
      </c>
      <c r="P215" s="37">
        <f>IF(H215&lt;32,Calculations!$F$5*Radiators!F215,IF(H215&lt;56,Calculations!$F$6*Radiators!F215,Calculations!$F$7*Radiators!F215))</f>
        <v>0</v>
      </c>
      <c r="Q215" s="37">
        <f t="shared" si="15"/>
        <v>0</v>
      </c>
    </row>
    <row r="216" spans="2:17">
      <c r="B216" s="33"/>
      <c r="C216" s="34"/>
      <c r="D216" s="34"/>
      <c r="E216" s="34"/>
      <c r="F216" s="34"/>
      <c r="G216" s="34"/>
      <c r="H216" s="34">
        <f>IFERROR(IF(B216="Column",INDEX(RadCompList!$C$4:$G$13,MATCH(C216,RadCompList!$B$4:$B$13),MATCH(Radiators!D216,RadCompList!$C$3:$G$3)),IF(B216="Tube",INDEX(RadCompList!$C$16:$I$22,MATCH(C216,RadCompList!$B$16:$B$22),MATCH(Radiators!D216,RadCompList!$C$15:$I$15)),IF(B216="Cast Rad/Conv",INDEX(RadCompList!$C$28:$D$28,MATCH(C216,RadCompList!$B$28),MATCH(Radiators!D216,RadCompList!$C$27:$D$27)),IF(B216="Copper Cabinet",(INDEX(RadCompList!$E$39:$J$78,MATCH(Radiators!D216,RadCompList!$D$39:$D$78,0),MATCH(C216,RadCompList!$E$38:$J$38,0))),0))))*E216,0)*$A$2</f>
        <v>0</v>
      </c>
      <c r="I216" s="34">
        <f t="shared" si="13"/>
        <v>0</v>
      </c>
      <c r="J216" s="35">
        <f>IFERROR(VLOOKUP(G216,VentList!$A$1:$D$198,2,FALSE),0)</f>
        <v>0</v>
      </c>
      <c r="K216" s="26">
        <f>IFERROR(VLOOKUP(B216,RadCompList!$P$3:$Q$6,2,FALSE)*H216,0)</f>
        <v>0</v>
      </c>
      <c r="L216" s="26" t="str">
        <f t="shared" si="16"/>
        <v>3/4</v>
      </c>
      <c r="M216" s="37">
        <f>Main!$G$8-0.0001306*N216^2 * F216*(1+3.6/VLOOKUP(L216,Calculations!$B$4:$F$15,2,FALSE))/(3600*Main!$C$7*VLOOKUP(L216,Calculations!$B$4:$F$15,2,FALSE)^5)</f>
        <v>0.14820436411902377</v>
      </c>
      <c r="N216" s="37">
        <f t="shared" si="14"/>
        <v>0</v>
      </c>
      <c r="O216" s="37">
        <f>IF(H216&lt;32,SteamProperties!$F$24*Radiators!F216,IF(H216&lt;56,SteamProperties!$F$25*Radiators!F216,SteamProperties!$F$26*Radiators!F216))</f>
        <v>0</v>
      </c>
      <c r="P216" s="37">
        <f>IF(H216&lt;32,Calculations!$F$5*Radiators!F216,IF(H216&lt;56,Calculations!$F$6*Radiators!F216,Calculations!$F$7*Radiators!F216))</f>
        <v>0</v>
      </c>
      <c r="Q216" s="37">
        <f t="shared" si="15"/>
        <v>0</v>
      </c>
    </row>
    <row r="217" spans="2:17">
      <c r="B217" s="33"/>
      <c r="C217" s="34"/>
      <c r="D217" s="34"/>
      <c r="E217" s="34"/>
      <c r="F217" s="34"/>
      <c r="G217" s="34"/>
      <c r="H217" s="34">
        <f>IFERROR(IF(B217="Column",INDEX(RadCompList!$C$4:$G$13,MATCH(C217,RadCompList!$B$4:$B$13),MATCH(Radiators!D217,RadCompList!$C$3:$G$3)),IF(B217="Tube",INDEX(RadCompList!$C$16:$I$22,MATCH(C217,RadCompList!$B$16:$B$22),MATCH(Radiators!D217,RadCompList!$C$15:$I$15)),IF(B217="Cast Rad/Conv",INDEX(RadCompList!$C$28:$D$28,MATCH(C217,RadCompList!$B$28),MATCH(Radiators!D217,RadCompList!$C$27:$D$27)),IF(B217="Copper Cabinet",(INDEX(RadCompList!$E$39:$J$78,MATCH(Radiators!D217,RadCompList!$D$39:$D$78,0),MATCH(C217,RadCompList!$E$38:$J$38,0))),0))))*E217,0)*$A$2</f>
        <v>0</v>
      </c>
      <c r="I217" s="34">
        <f t="shared" si="13"/>
        <v>0</v>
      </c>
      <c r="J217" s="35">
        <f>IFERROR(VLOOKUP(G217,VentList!$A$1:$D$198,2,FALSE),0)</f>
        <v>0</v>
      </c>
      <c r="K217" s="26">
        <f>IFERROR(VLOOKUP(B217,RadCompList!$P$3:$Q$6,2,FALSE)*H217,0)</f>
        <v>0</v>
      </c>
      <c r="L217" s="26" t="str">
        <f t="shared" si="16"/>
        <v>3/4</v>
      </c>
      <c r="M217" s="37">
        <f>Main!$G$8-0.0001306*N217^2 * F217*(1+3.6/VLOOKUP(L217,Calculations!$B$4:$F$15,2,FALSE))/(3600*Main!$C$7*VLOOKUP(L217,Calculations!$B$4:$F$15,2,FALSE)^5)</f>
        <v>0.14820436411902377</v>
      </c>
      <c r="N217" s="37">
        <f t="shared" si="14"/>
        <v>0</v>
      </c>
      <c r="O217" s="37">
        <f>IF(H217&lt;32,SteamProperties!$F$24*Radiators!F217,IF(H217&lt;56,SteamProperties!$F$25*Radiators!F217,SteamProperties!$F$26*Radiators!F217))</f>
        <v>0</v>
      </c>
      <c r="P217" s="37">
        <f>IF(H217&lt;32,Calculations!$F$5*Radiators!F217,IF(H217&lt;56,Calculations!$F$6*Radiators!F217,Calculations!$F$7*Radiators!F217))</f>
        <v>0</v>
      </c>
      <c r="Q217" s="37">
        <f t="shared" si="15"/>
        <v>0</v>
      </c>
    </row>
    <row r="218" spans="2:17">
      <c r="B218" s="33"/>
      <c r="C218" s="34"/>
      <c r="D218" s="34"/>
      <c r="E218" s="34"/>
      <c r="F218" s="34"/>
      <c r="G218" s="34"/>
      <c r="H218" s="34">
        <f>IFERROR(IF(B218="Column",INDEX(RadCompList!$C$4:$G$13,MATCH(C218,RadCompList!$B$4:$B$13),MATCH(Radiators!D218,RadCompList!$C$3:$G$3)),IF(B218="Tube",INDEX(RadCompList!$C$16:$I$22,MATCH(C218,RadCompList!$B$16:$B$22),MATCH(Radiators!D218,RadCompList!$C$15:$I$15)),IF(B218="Cast Rad/Conv",INDEX(RadCompList!$C$28:$D$28,MATCH(C218,RadCompList!$B$28),MATCH(Radiators!D218,RadCompList!$C$27:$D$27)),IF(B218="Copper Cabinet",(INDEX(RadCompList!$E$39:$J$78,MATCH(Radiators!D218,RadCompList!$D$39:$D$78,0),MATCH(C218,RadCompList!$E$38:$J$38,0))),0))))*E218,0)*$A$2</f>
        <v>0</v>
      </c>
      <c r="I218" s="34">
        <f t="shared" si="13"/>
        <v>0</v>
      </c>
      <c r="J218" s="35">
        <f>IFERROR(VLOOKUP(G218,VentList!$A$1:$D$198,2,FALSE),0)</f>
        <v>0</v>
      </c>
      <c r="K218" s="26">
        <f>IFERROR(VLOOKUP(B218,RadCompList!$P$3:$Q$6,2,FALSE)*H218,0)</f>
        <v>0</v>
      </c>
      <c r="L218" s="26" t="str">
        <f t="shared" si="16"/>
        <v>3/4</v>
      </c>
      <c r="M218" s="37">
        <f>Main!$G$8-0.0001306*N218^2 * F218*(1+3.6/VLOOKUP(L218,Calculations!$B$4:$F$15,2,FALSE))/(3600*Main!$C$7*VLOOKUP(L218,Calculations!$B$4:$F$15,2,FALSE)^5)</f>
        <v>0.14820436411902377</v>
      </c>
      <c r="N218" s="37">
        <f t="shared" si="14"/>
        <v>0</v>
      </c>
      <c r="O218" s="37">
        <f>IF(H218&lt;32,SteamProperties!$F$24*Radiators!F218,IF(H218&lt;56,SteamProperties!$F$25*Radiators!F218,SteamProperties!$F$26*Radiators!F218))</f>
        <v>0</v>
      </c>
      <c r="P218" s="37">
        <f>IF(H218&lt;32,Calculations!$F$5*Radiators!F218,IF(H218&lt;56,Calculations!$F$6*Radiators!F218,Calculations!$F$7*Radiators!F218))</f>
        <v>0</v>
      </c>
      <c r="Q218" s="37">
        <f t="shared" si="15"/>
        <v>0</v>
      </c>
    </row>
    <row r="219" spans="2:17">
      <c r="B219" s="33"/>
      <c r="C219" s="34"/>
      <c r="D219" s="34"/>
      <c r="E219" s="34"/>
      <c r="F219" s="34"/>
      <c r="G219" s="34"/>
      <c r="H219" s="34">
        <f>IFERROR(IF(B219="Column",INDEX(RadCompList!$C$4:$G$13,MATCH(C219,RadCompList!$B$4:$B$13),MATCH(Radiators!D219,RadCompList!$C$3:$G$3)),IF(B219="Tube",INDEX(RadCompList!$C$16:$I$22,MATCH(C219,RadCompList!$B$16:$B$22),MATCH(Radiators!D219,RadCompList!$C$15:$I$15)),IF(B219="Cast Rad/Conv",INDEX(RadCompList!$C$28:$D$28,MATCH(C219,RadCompList!$B$28),MATCH(Radiators!D219,RadCompList!$C$27:$D$27)),IF(B219="Copper Cabinet",(INDEX(RadCompList!$E$39:$J$78,MATCH(Radiators!D219,RadCompList!$D$39:$D$78,0),MATCH(C219,RadCompList!$E$38:$J$38,0))),0))))*E219,0)*$A$2</f>
        <v>0</v>
      </c>
      <c r="I219" s="34">
        <f t="shared" si="13"/>
        <v>0</v>
      </c>
      <c r="J219" s="35">
        <f>IFERROR(VLOOKUP(G219,VentList!$A$1:$D$198,2,FALSE),0)</f>
        <v>0</v>
      </c>
      <c r="K219" s="26">
        <f>IFERROR(VLOOKUP(B219,RadCompList!$P$3:$Q$6,2,FALSE)*H219,0)</f>
        <v>0</v>
      </c>
      <c r="L219" s="26" t="str">
        <f t="shared" si="16"/>
        <v>3/4</v>
      </c>
      <c r="M219" s="37">
        <f>Main!$G$8-0.0001306*N219^2 * F219*(1+3.6/VLOOKUP(L219,Calculations!$B$4:$F$15,2,FALSE))/(3600*Main!$C$7*VLOOKUP(L219,Calculations!$B$4:$F$15,2,FALSE)^5)</f>
        <v>0.14820436411902377</v>
      </c>
      <c r="N219" s="37">
        <f t="shared" si="14"/>
        <v>0</v>
      </c>
      <c r="O219" s="37">
        <f>IF(H219&lt;32,SteamProperties!$F$24*Radiators!F219,IF(H219&lt;56,SteamProperties!$F$25*Radiators!F219,SteamProperties!$F$26*Radiators!F219))</f>
        <v>0</v>
      </c>
      <c r="P219" s="37">
        <f>IF(H219&lt;32,Calculations!$F$5*Radiators!F219,IF(H219&lt;56,Calculations!$F$6*Radiators!F219,Calculations!$F$7*Radiators!F219))</f>
        <v>0</v>
      </c>
      <c r="Q219" s="37">
        <f t="shared" si="15"/>
        <v>0</v>
      </c>
    </row>
    <row r="220" spans="2:17">
      <c r="B220" s="33"/>
      <c r="C220" s="34"/>
      <c r="D220" s="34"/>
      <c r="E220" s="34"/>
      <c r="F220" s="34"/>
      <c r="G220" s="34"/>
      <c r="H220" s="34">
        <f>IFERROR(IF(B220="Column",INDEX(RadCompList!$C$4:$G$13,MATCH(C220,RadCompList!$B$4:$B$13),MATCH(Radiators!D220,RadCompList!$C$3:$G$3)),IF(B220="Tube",INDEX(RadCompList!$C$16:$I$22,MATCH(C220,RadCompList!$B$16:$B$22),MATCH(Radiators!D220,RadCompList!$C$15:$I$15)),IF(B220="Cast Rad/Conv",INDEX(RadCompList!$C$28:$D$28,MATCH(C220,RadCompList!$B$28),MATCH(Radiators!D220,RadCompList!$C$27:$D$27)),IF(B220="Copper Cabinet",(INDEX(RadCompList!$E$39:$J$78,MATCH(Radiators!D220,RadCompList!$D$39:$D$78,0),MATCH(C220,RadCompList!$E$38:$J$38,0))),0))))*E220,0)*$A$2</f>
        <v>0</v>
      </c>
      <c r="I220" s="34">
        <f t="shared" si="13"/>
        <v>0</v>
      </c>
      <c r="J220" s="35">
        <f>IFERROR(VLOOKUP(G220,VentList!$A$1:$D$198,2,FALSE),0)</f>
        <v>0</v>
      </c>
      <c r="K220" s="26">
        <f>IFERROR(VLOOKUP(B220,RadCompList!$P$3:$Q$6,2,FALSE)*H220,0)</f>
        <v>0</v>
      </c>
      <c r="L220" s="26" t="str">
        <f t="shared" si="16"/>
        <v>3/4</v>
      </c>
      <c r="M220" s="37">
        <f>Main!$G$8-0.0001306*N220^2 * F220*(1+3.6/VLOOKUP(L220,Calculations!$B$4:$F$15,2,FALSE))/(3600*Main!$C$7*VLOOKUP(L220,Calculations!$B$4:$F$15,2,FALSE)^5)</f>
        <v>0.14820436411902377</v>
      </c>
      <c r="N220" s="37">
        <f t="shared" si="14"/>
        <v>0</v>
      </c>
      <c r="O220" s="37">
        <f>IF(H220&lt;32,SteamProperties!$F$24*Radiators!F220,IF(H220&lt;56,SteamProperties!$F$25*Radiators!F220,SteamProperties!$F$26*Radiators!F220))</f>
        <v>0</v>
      </c>
      <c r="P220" s="37">
        <f>IF(H220&lt;32,Calculations!$F$5*Radiators!F220,IF(H220&lt;56,Calculations!$F$6*Radiators!F220,Calculations!$F$7*Radiators!F220))</f>
        <v>0</v>
      </c>
      <c r="Q220" s="37">
        <f t="shared" si="15"/>
        <v>0</v>
      </c>
    </row>
    <row r="221" spans="2:17">
      <c r="B221" s="33"/>
      <c r="C221" s="34"/>
      <c r="D221" s="34"/>
      <c r="E221" s="34"/>
      <c r="F221" s="34"/>
      <c r="G221" s="34"/>
      <c r="H221" s="34">
        <f>IFERROR(IF(B221="Column",INDEX(RadCompList!$C$4:$G$13,MATCH(C221,RadCompList!$B$4:$B$13),MATCH(Radiators!D221,RadCompList!$C$3:$G$3)),IF(B221="Tube",INDEX(RadCompList!$C$16:$I$22,MATCH(C221,RadCompList!$B$16:$B$22),MATCH(Radiators!D221,RadCompList!$C$15:$I$15)),IF(B221="Cast Rad/Conv",INDEX(RadCompList!$C$28:$D$28,MATCH(C221,RadCompList!$B$28),MATCH(Radiators!D221,RadCompList!$C$27:$D$27)),IF(B221="Copper Cabinet",(INDEX(RadCompList!$E$39:$J$78,MATCH(Radiators!D221,RadCompList!$D$39:$D$78,0),MATCH(C221,RadCompList!$E$38:$J$38,0))),0))))*E221,0)*$A$2</f>
        <v>0</v>
      </c>
      <c r="I221" s="34">
        <f t="shared" si="13"/>
        <v>0</v>
      </c>
      <c r="J221" s="35">
        <f>IFERROR(VLOOKUP(G221,VentList!$A$1:$D$198,2,FALSE),0)</f>
        <v>0</v>
      </c>
      <c r="K221" s="26">
        <f>IFERROR(VLOOKUP(B221,RadCompList!$P$3:$Q$6,2,FALSE)*H221,0)</f>
        <v>0</v>
      </c>
      <c r="L221" s="26" t="str">
        <f t="shared" si="16"/>
        <v>3/4</v>
      </c>
      <c r="M221" s="37">
        <f>Main!$G$8-0.0001306*N221^2 * F221*(1+3.6/VLOOKUP(L221,Calculations!$B$4:$F$15,2,FALSE))/(3600*Main!$C$7*VLOOKUP(L221,Calculations!$B$4:$F$15,2,FALSE)^5)</f>
        <v>0.14820436411902377</v>
      </c>
      <c r="N221" s="37">
        <f t="shared" si="14"/>
        <v>0</v>
      </c>
      <c r="O221" s="37">
        <f>IF(H221&lt;32,SteamProperties!$F$24*Radiators!F221,IF(H221&lt;56,SteamProperties!$F$25*Radiators!F221,SteamProperties!$F$26*Radiators!F221))</f>
        <v>0</v>
      </c>
      <c r="P221" s="37">
        <f>IF(H221&lt;32,Calculations!$F$5*Radiators!F221,IF(H221&lt;56,Calculations!$F$6*Radiators!F221,Calculations!$F$7*Radiators!F221))</f>
        <v>0</v>
      </c>
      <c r="Q221" s="37">
        <f t="shared" si="15"/>
        <v>0</v>
      </c>
    </row>
    <row r="222" spans="2:17">
      <c r="B222" s="33"/>
      <c r="C222" s="34"/>
      <c r="D222" s="34"/>
      <c r="E222" s="34"/>
      <c r="F222" s="34"/>
      <c r="G222" s="34"/>
      <c r="H222" s="34">
        <f>IFERROR(IF(B222="Column",INDEX(RadCompList!$C$4:$G$13,MATCH(C222,RadCompList!$B$4:$B$13),MATCH(Radiators!D222,RadCompList!$C$3:$G$3)),IF(B222="Tube",INDEX(RadCompList!$C$16:$I$22,MATCH(C222,RadCompList!$B$16:$B$22),MATCH(Radiators!D222,RadCompList!$C$15:$I$15)),IF(B222="Cast Rad/Conv",INDEX(RadCompList!$C$28:$D$28,MATCH(C222,RadCompList!$B$28),MATCH(Radiators!D222,RadCompList!$C$27:$D$27)),IF(B222="Copper Cabinet",(INDEX(RadCompList!$E$39:$J$78,MATCH(Radiators!D222,RadCompList!$D$39:$D$78,0),MATCH(C222,RadCompList!$E$38:$J$38,0))),0))))*E222,0)*$A$2</f>
        <v>0</v>
      </c>
      <c r="I222" s="34">
        <f t="shared" si="13"/>
        <v>0</v>
      </c>
      <c r="J222" s="35">
        <f>IFERROR(VLOOKUP(G222,VentList!$A$1:$D$198,2,FALSE),0)</f>
        <v>0</v>
      </c>
      <c r="K222" s="26">
        <f>IFERROR(VLOOKUP(B222,RadCompList!$P$3:$Q$6,2,FALSE)*H222,0)</f>
        <v>0</v>
      </c>
      <c r="L222" s="26" t="str">
        <f t="shared" si="16"/>
        <v>3/4</v>
      </c>
      <c r="M222" s="37">
        <f>Main!$G$8-0.0001306*N222^2 * F222*(1+3.6/VLOOKUP(L222,Calculations!$B$4:$F$15,2,FALSE))/(3600*Main!$C$7*VLOOKUP(L222,Calculations!$B$4:$F$15,2,FALSE)^5)</f>
        <v>0.14820436411902377</v>
      </c>
      <c r="N222" s="37">
        <f t="shared" si="14"/>
        <v>0</v>
      </c>
      <c r="O222" s="37">
        <f>IF(H222&lt;32,SteamProperties!$F$24*Radiators!F222,IF(H222&lt;56,SteamProperties!$F$25*Radiators!F222,SteamProperties!$F$26*Radiators!F222))</f>
        <v>0</v>
      </c>
      <c r="P222" s="37">
        <f>IF(H222&lt;32,Calculations!$F$5*Radiators!F222,IF(H222&lt;56,Calculations!$F$6*Radiators!F222,Calculations!$F$7*Radiators!F222))</f>
        <v>0</v>
      </c>
      <c r="Q222" s="37">
        <f t="shared" si="15"/>
        <v>0</v>
      </c>
    </row>
    <row r="223" spans="2:17">
      <c r="B223" s="33"/>
      <c r="C223" s="34"/>
      <c r="D223" s="34"/>
      <c r="E223" s="34"/>
      <c r="F223" s="34"/>
      <c r="G223" s="34"/>
      <c r="H223" s="34">
        <f>IFERROR(IF(B223="Column",INDEX(RadCompList!$C$4:$G$13,MATCH(C223,RadCompList!$B$4:$B$13),MATCH(Radiators!D223,RadCompList!$C$3:$G$3)),IF(B223="Tube",INDEX(RadCompList!$C$16:$I$22,MATCH(C223,RadCompList!$B$16:$B$22),MATCH(Radiators!D223,RadCompList!$C$15:$I$15)),IF(B223="Cast Rad/Conv",INDEX(RadCompList!$C$28:$D$28,MATCH(C223,RadCompList!$B$28),MATCH(Radiators!D223,RadCompList!$C$27:$D$27)),IF(B223="Copper Cabinet",(INDEX(RadCompList!$E$39:$J$78,MATCH(Radiators!D223,RadCompList!$D$39:$D$78,0),MATCH(C223,RadCompList!$E$38:$J$38,0))),0))))*E223,0)*$A$2</f>
        <v>0</v>
      </c>
      <c r="I223" s="34">
        <f t="shared" si="13"/>
        <v>0</v>
      </c>
      <c r="J223" s="35">
        <f>IFERROR(VLOOKUP(G223,VentList!$A$1:$D$198,2,FALSE),0)</f>
        <v>0</v>
      </c>
      <c r="K223" s="26">
        <f>IFERROR(VLOOKUP(B223,RadCompList!$P$3:$Q$6,2,FALSE)*H223,0)</f>
        <v>0</v>
      </c>
      <c r="L223" s="26" t="str">
        <f t="shared" si="16"/>
        <v>3/4</v>
      </c>
      <c r="M223" s="37">
        <f>Main!$G$8-0.0001306*N223^2 * F223*(1+3.6/VLOOKUP(L223,Calculations!$B$4:$F$15,2,FALSE))/(3600*Main!$C$7*VLOOKUP(L223,Calculations!$B$4:$F$15,2,FALSE)^5)</f>
        <v>0.14820436411902377</v>
      </c>
      <c r="N223" s="37">
        <f t="shared" si="14"/>
        <v>0</v>
      </c>
      <c r="O223" s="37">
        <f>IF(H223&lt;32,SteamProperties!$F$24*Radiators!F223,IF(H223&lt;56,SteamProperties!$F$25*Radiators!F223,SteamProperties!$F$26*Radiators!F223))</f>
        <v>0</v>
      </c>
      <c r="P223" s="37">
        <f>IF(H223&lt;32,Calculations!$F$5*Radiators!F223,IF(H223&lt;56,Calculations!$F$6*Radiators!F223,Calculations!$F$7*Radiators!F223))</f>
        <v>0</v>
      </c>
      <c r="Q223" s="37">
        <f t="shared" si="15"/>
        <v>0</v>
      </c>
    </row>
    <row r="224" spans="2:17">
      <c r="B224" s="33"/>
      <c r="C224" s="34"/>
      <c r="D224" s="34"/>
      <c r="E224" s="34"/>
      <c r="F224" s="34"/>
      <c r="G224" s="34"/>
      <c r="H224" s="34">
        <f>IFERROR(IF(B224="Column",INDEX(RadCompList!$C$4:$G$13,MATCH(C224,RadCompList!$B$4:$B$13),MATCH(Radiators!D224,RadCompList!$C$3:$G$3)),IF(B224="Tube",INDEX(RadCompList!$C$16:$I$22,MATCH(C224,RadCompList!$B$16:$B$22),MATCH(Radiators!D224,RadCompList!$C$15:$I$15)),IF(B224="Cast Rad/Conv",INDEX(RadCompList!$C$28:$D$28,MATCH(C224,RadCompList!$B$28),MATCH(Radiators!D224,RadCompList!$C$27:$D$27)),IF(B224="Copper Cabinet",(INDEX(RadCompList!$E$39:$J$78,MATCH(Radiators!D224,RadCompList!$D$39:$D$78,0),MATCH(C224,RadCompList!$E$38:$J$38,0))),0))))*E224,0)*$A$2</f>
        <v>0</v>
      </c>
      <c r="I224" s="34">
        <f t="shared" si="13"/>
        <v>0</v>
      </c>
      <c r="J224" s="35">
        <f>IFERROR(VLOOKUP(G224,VentList!$A$1:$D$198,2,FALSE),0)</f>
        <v>0</v>
      </c>
      <c r="K224" s="26">
        <f>IFERROR(VLOOKUP(B224,RadCompList!$P$3:$Q$6,2,FALSE)*H224,0)</f>
        <v>0</v>
      </c>
      <c r="L224" s="26" t="str">
        <f t="shared" si="16"/>
        <v>3/4</v>
      </c>
      <c r="M224" s="37">
        <f>Main!$G$8-0.0001306*N224^2 * F224*(1+3.6/VLOOKUP(L224,Calculations!$B$4:$F$15,2,FALSE))/(3600*Main!$C$7*VLOOKUP(L224,Calculations!$B$4:$F$15,2,FALSE)^5)</f>
        <v>0.14820436411902377</v>
      </c>
      <c r="N224" s="37">
        <f t="shared" si="14"/>
        <v>0</v>
      </c>
      <c r="O224" s="37">
        <f>IF(H224&lt;32,SteamProperties!$F$24*Radiators!F224,IF(H224&lt;56,SteamProperties!$F$25*Radiators!F224,SteamProperties!$F$26*Radiators!F224))</f>
        <v>0</v>
      </c>
      <c r="P224" s="37">
        <f>IF(H224&lt;32,Calculations!$F$5*Radiators!F224,IF(H224&lt;56,Calculations!$F$6*Radiators!F224,Calculations!$F$7*Radiators!F224))</f>
        <v>0</v>
      </c>
      <c r="Q224" s="37">
        <f t="shared" si="15"/>
        <v>0</v>
      </c>
    </row>
    <row r="225" spans="2:17">
      <c r="B225" s="33"/>
      <c r="C225" s="34"/>
      <c r="D225" s="34"/>
      <c r="E225" s="34"/>
      <c r="F225" s="34"/>
      <c r="G225" s="34"/>
      <c r="H225" s="34">
        <f>IFERROR(IF(B225="Column",INDEX(RadCompList!$C$4:$G$13,MATCH(C225,RadCompList!$B$4:$B$13),MATCH(Radiators!D225,RadCompList!$C$3:$G$3)),IF(B225="Tube",INDEX(RadCompList!$C$16:$I$22,MATCH(C225,RadCompList!$B$16:$B$22),MATCH(Radiators!D225,RadCompList!$C$15:$I$15)),IF(B225="Cast Rad/Conv",INDEX(RadCompList!$C$28:$D$28,MATCH(C225,RadCompList!$B$28),MATCH(Radiators!D225,RadCompList!$C$27:$D$27)),IF(B225="Copper Cabinet",(INDEX(RadCompList!$E$39:$J$78,MATCH(Radiators!D225,RadCompList!$D$39:$D$78,0),MATCH(C225,RadCompList!$E$38:$J$38,0))),0))))*E225,0)*$A$2</f>
        <v>0</v>
      </c>
      <c r="I225" s="34">
        <f t="shared" si="13"/>
        <v>0</v>
      </c>
      <c r="J225" s="35">
        <f>IFERROR(VLOOKUP(G225,VentList!$A$1:$D$198,2,FALSE),0)</f>
        <v>0</v>
      </c>
      <c r="K225" s="26">
        <f>IFERROR(VLOOKUP(B225,RadCompList!$P$3:$Q$6,2,FALSE)*H225,0)</f>
        <v>0</v>
      </c>
      <c r="L225" s="26" t="str">
        <f t="shared" si="16"/>
        <v>3/4</v>
      </c>
      <c r="M225" s="37">
        <f>Main!$G$8-0.0001306*N225^2 * F225*(1+3.6/VLOOKUP(L225,Calculations!$B$4:$F$15,2,FALSE))/(3600*Main!$C$7*VLOOKUP(L225,Calculations!$B$4:$F$15,2,FALSE)^5)</f>
        <v>0.14820436411902377</v>
      </c>
      <c r="N225" s="37">
        <f t="shared" si="14"/>
        <v>0</v>
      </c>
      <c r="O225" s="37">
        <f>IF(H225&lt;32,SteamProperties!$F$24*Radiators!F225,IF(H225&lt;56,SteamProperties!$F$25*Radiators!F225,SteamProperties!$F$26*Radiators!F225))</f>
        <v>0</v>
      </c>
      <c r="P225" s="37">
        <f>IF(H225&lt;32,Calculations!$F$5*Radiators!F225,IF(H225&lt;56,Calculations!$F$6*Radiators!F225,Calculations!$F$7*Radiators!F225))</f>
        <v>0</v>
      </c>
      <c r="Q225" s="37">
        <f t="shared" si="15"/>
        <v>0</v>
      </c>
    </row>
    <row r="226" spans="2:17">
      <c r="B226" s="33"/>
      <c r="C226" s="34"/>
      <c r="D226" s="34"/>
      <c r="E226" s="34"/>
      <c r="F226" s="34"/>
      <c r="G226" s="34"/>
      <c r="H226" s="34">
        <f>IFERROR(IF(B226="Column",INDEX(RadCompList!$C$4:$G$13,MATCH(C226,RadCompList!$B$4:$B$13),MATCH(Radiators!D226,RadCompList!$C$3:$G$3)),IF(B226="Tube",INDEX(RadCompList!$C$16:$I$22,MATCH(C226,RadCompList!$B$16:$B$22),MATCH(Radiators!D226,RadCompList!$C$15:$I$15)),IF(B226="Cast Rad/Conv",INDEX(RadCompList!$C$28:$D$28,MATCH(C226,RadCompList!$B$28),MATCH(Radiators!D226,RadCompList!$C$27:$D$27)),IF(B226="Copper Cabinet",(INDEX(RadCompList!$E$39:$J$78,MATCH(Radiators!D226,RadCompList!$D$39:$D$78,0),MATCH(C226,RadCompList!$E$38:$J$38,0))),0))))*E226,0)*$A$2</f>
        <v>0</v>
      </c>
      <c r="I226" s="34">
        <f t="shared" si="13"/>
        <v>0</v>
      </c>
      <c r="J226" s="35">
        <f>IFERROR(VLOOKUP(G226,VentList!$A$1:$D$198,2,FALSE),0)</f>
        <v>0</v>
      </c>
      <c r="K226" s="26">
        <f>IFERROR(VLOOKUP(B226,RadCompList!$P$3:$Q$6,2,FALSE)*H226,0)</f>
        <v>0</v>
      </c>
      <c r="L226" s="26" t="str">
        <f t="shared" si="16"/>
        <v>3/4</v>
      </c>
      <c r="M226" s="37">
        <f>Main!$G$8-0.0001306*N226^2 * F226*(1+3.6/VLOOKUP(L226,Calculations!$B$4:$F$15,2,FALSE))/(3600*Main!$C$7*VLOOKUP(L226,Calculations!$B$4:$F$15,2,FALSE)^5)</f>
        <v>0.14820436411902377</v>
      </c>
      <c r="N226" s="37">
        <f t="shared" si="14"/>
        <v>0</v>
      </c>
      <c r="O226" s="37">
        <f>IF(H226&lt;32,SteamProperties!$F$24*Radiators!F226,IF(H226&lt;56,SteamProperties!$F$25*Radiators!F226,SteamProperties!$F$26*Radiators!F226))</f>
        <v>0</v>
      </c>
      <c r="P226" s="37">
        <f>IF(H226&lt;32,Calculations!$F$5*Radiators!F226,IF(H226&lt;56,Calculations!$F$6*Radiators!F226,Calculations!$F$7*Radiators!F226))</f>
        <v>0</v>
      </c>
      <c r="Q226" s="37">
        <f t="shared" si="15"/>
        <v>0</v>
      </c>
    </row>
    <row r="227" spans="2:17">
      <c r="B227" s="33"/>
      <c r="C227" s="34"/>
      <c r="D227" s="34"/>
      <c r="E227" s="34"/>
      <c r="F227" s="34"/>
      <c r="G227" s="34"/>
      <c r="H227" s="34">
        <f>IFERROR(IF(B227="Column",INDEX(RadCompList!$C$4:$G$13,MATCH(C227,RadCompList!$B$4:$B$13),MATCH(Radiators!D227,RadCompList!$C$3:$G$3)),IF(B227="Tube",INDEX(RadCompList!$C$16:$I$22,MATCH(C227,RadCompList!$B$16:$B$22),MATCH(Radiators!D227,RadCompList!$C$15:$I$15)),IF(B227="Cast Rad/Conv",INDEX(RadCompList!$C$28:$D$28,MATCH(C227,RadCompList!$B$28),MATCH(Radiators!D227,RadCompList!$C$27:$D$27)),IF(B227="Copper Cabinet",(INDEX(RadCompList!$E$39:$J$78,MATCH(Radiators!D227,RadCompList!$D$39:$D$78,0),MATCH(C227,RadCompList!$E$38:$J$38,0))),0))))*E227,0)*$A$2</f>
        <v>0</v>
      </c>
      <c r="I227" s="34">
        <f t="shared" si="13"/>
        <v>0</v>
      </c>
      <c r="J227" s="35">
        <f>IFERROR(VLOOKUP(G227,VentList!$A$1:$D$198,2,FALSE),0)</f>
        <v>0</v>
      </c>
      <c r="K227" s="26">
        <f>IFERROR(VLOOKUP(B227,RadCompList!$P$3:$Q$6,2,FALSE)*H227,0)</f>
        <v>0</v>
      </c>
      <c r="L227" s="26" t="str">
        <f t="shared" si="16"/>
        <v>3/4</v>
      </c>
      <c r="M227" s="37">
        <f>Main!$G$8-0.0001306*N227^2 * F227*(1+3.6/VLOOKUP(L227,Calculations!$B$4:$F$15,2,FALSE))/(3600*Main!$C$7*VLOOKUP(L227,Calculations!$B$4:$F$15,2,FALSE)^5)</f>
        <v>0.14820436411902377</v>
      </c>
      <c r="N227" s="37">
        <f t="shared" si="14"/>
        <v>0</v>
      </c>
      <c r="O227" s="37">
        <f>IF(H227&lt;32,SteamProperties!$F$24*Radiators!F227,IF(H227&lt;56,SteamProperties!$F$25*Radiators!F227,SteamProperties!$F$26*Radiators!F227))</f>
        <v>0</v>
      </c>
      <c r="P227" s="37">
        <f>IF(H227&lt;32,Calculations!$F$5*Radiators!F227,IF(H227&lt;56,Calculations!$F$6*Radiators!F227,Calculations!$F$7*Radiators!F227))</f>
        <v>0</v>
      </c>
      <c r="Q227" s="37">
        <f t="shared" si="15"/>
        <v>0</v>
      </c>
    </row>
    <row r="228" spans="2:17">
      <c r="B228" s="33"/>
      <c r="C228" s="34"/>
      <c r="D228" s="34"/>
      <c r="E228" s="34"/>
      <c r="F228" s="34"/>
      <c r="G228" s="34"/>
      <c r="H228" s="34">
        <f>IFERROR(IF(B228="Column",INDEX(RadCompList!$C$4:$G$13,MATCH(C228,RadCompList!$B$4:$B$13),MATCH(Radiators!D228,RadCompList!$C$3:$G$3)),IF(B228="Tube",INDEX(RadCompList!$C$16:$I$22,MATCH(C228,RadCompList!$B$16:$B$22),MATCH(Radiators!D228,RadCompList!$C$15:$I$15)),IF(B228="Cast Rad/Conv",INDEX(RadCompList!$C$28:$D$28,MATCH(C228,RadCompList!$B$28),MATCH(Radiators!D228,RadCompList!$C$27:$D$27)),IF(B228="Copper Cabinet",(INDEX(RadCompList!$E$39:$J$78,MATCH(Radiators!D228,RadCompList!$D$39:$D$78,0),MATCH(C228,RadCompList!$E$38:$J$38,0))),0))))*E228,0)*$A$2</f>
        <v>0</v>
      </c>
      <c r="I228" s="34">
        <f t="shared" si="13"/>
        <v>0</v>
      </c>
      <c r="J228" s="35">
        <f>IFERROR(VLOOKUP(G228,VentList!$A$1:$D$198,2,FALSE),0)</f>
        <v>0</v>
      </c>
      <c r="K228" s="26">
        <f>IFERROR(VLOOKUP(B228,RadCompList!$P$3:$Q$6,2,FALSE)*H228,0)</f>
        <v>0</v>
      </c>
      <c r="L228" s="26" t="str">
        <f t="shared" si="16"/>
        <v>3/4</v>
      </c>
      <c r="M228" s="37">
        <f>Main!$G$8-0.0001306*N228^2 * F228*(1+3.6/VLOOKUP(L228,Calculations!$B$4:$F$15,2,FALSE))/(3600*Main!$C$7*VLOOKUP(L228,Calculations!$B$4:$F$15,2,FALSE)^5)</f>
        <v>0.14820436411902377</v>
      </c>
      <c r="N228" s="37">
        <f t="shared" si="14"/>
        <v>0</v>
      </c>
      <c r="O228" s="37">
        <f>IF(H228&lt;32,SteamProperties!$F$24*Radiators!F228,IF(H228&lt;56,SteamProperties!$F$25*Radiators!F228,SteamProperties!$F$26*Radiators!F228))</f>
        <v>0</v>
      </c>
      <c r="P228" s="37">
        <f>IF(H228&lt;32,Calculations!$F$5*Radiators!F228,IF(H228&lt;56,Calculations!$F$6*Radiators!F228,Calculations!$F$7*Radiators!F228))</f>
        <v>0</v>
      </c>
      <c r="Q228" s="37">
        <f t="shared" si="15"/>
        <v>0</v>
      </c>
    </row>
    <row r="229" spans="2:17">
      <c r="B229" s="33"/>
      <c r="C229" s="34"/>
      <c r="D229" s="34"/>
      <c r="E229" s="34"/>
      <c r="F229" s="34"/>
      <c r="G229" s="34"/>
      <c r="H229" s="34">
        <f>IFERROR(IF(B229="Column",INDEX(RadCompList!$C$4:$G$13,MATCH(C229,RadCompList!$B$4:$B$13),MATCH(Radiators!D229,RadCompList!$C$3:$G$3)),IF(B229="Tube",INDEX(RadCompList!$C$16:$I$22,MATCH(C229,RadCompList!$B$16:$B$22),MATCH(Radiators!D229,RadCompList!$C$15:$I$15)),IF(B229="Cast Rad/Conv",INDEX(RadCompList!$C$28:$D$28,MATCH(C229,RadCompList!$B$28),MATCH(Radiators!D229,RadCompList!$C$27:$D$27)),IF(B229="Copper Cabinet",(INDEX(RadCompList!$E$39:$J$78,MATCH(Radiators!D229,RadCompList!$D$39:$D$78,0),MATCH(C229,RadCompList!$E$38:$J$38,0))),0))))*E229,0)*$A$2</f>
        <v>0</v>
      </c>
      <c r="I229" s="34">
        <f t="shared" si="13"/>
        <v>0</v>
      </c>
      <c r="J229" s="35">
        <f>IFERROR(VLOOKUP(G229,VentList!$A$1:$D$198,2,FALSE),0)</f>
        <v>0</v>
      </c>
      <c r="K229" s="26">
        <f>IFERROR(VLOOKUP(B229,RadCompList!$P$3:$Q$6,2,FALSE)*H229,0)</f>
        <v>0</v>
      </c>
      <c r="L229" s="26" t="str">
        <f t="shared" si="16"/>
        <v>3/4</v>
      </c>
      <c r="M229" s="37">
        <f>Main!$G$8-0.0001306*N229^2 * F229*(1+3.6/VLOOKUP(L229,Calculations!$B$4:$F$15,2,FALSE))/(3600*Main!$C$7*VLOOKUP(L229,Calculations!$B$4:$F$15,2,FALSE)^5)</f>
        <v>0.14820436411902377</v>
      </c>
      <c r="N229" s="37">
        <f t="shared" si="14"/>
        <v>0</v>
      </c>
      <c r="O229" s="37">
        <f>IF(H229&lt;32,SteamProperties!$F$24*Radiators!F229,IF(H229&lt;56,SteamProperties!$F$25*Radiators!F229,SteamProperties!$F$26*Radiators!F229))</f>
        <v>0</v>
      </c>
      <c r="P229" s="37">
        <f>IF(H229&lt;32,Calculations!$F$5*Radiators!F229,IF(H229&lt;56,Calculations!$F$6*Radiators!F229,Calculations!$F$7*Radiators!F229))</f>
        <v>0</v>
      </c>
      <c r="Q229" s="37">
        <f t="shared" si="15"/>
        <v>0</v>
      </c>
    </row>
    <row r="230" spans="2:17">
      <c r="B230" s="33"/>
      <c r="C230" s="34"/>
      <c r="D230" s="34"/>
      <c r="E230" s="34"/>
      <c r="F230" s="34"/>
      <c r="G230" s="34"/>
      <c r="H230" s="34">
        <f>IFERROR(IF(B230="Column",INDEX(RadCompList!$C$4:$G$13,MATCH(C230,RadCompList!$B$4:$B$13),MATCH(Radiators!D230,RadCompList!$C$3:$G$3)),IF(B230="Tube",INDEX(RadCompList!$C$16:$I$22,MATCH(C230,RadCompList!$B$16:$B$22),MATCH(Radiators!D230,RadCompList!$C$15:$I$15)),IF(B230="Cast Rad/Conv",INDEX(RadCompList!$C$28:$D$28,MATCH(C230,RadCompList!$B$28),MATCH(Radiators!D230,RadCompList!$C$27:$D$27)),IF(B230="Copper Cabinet",(INDEX(RadCompList!$E$39:$J$78,MATCH(Radiators!D230,RadCompList!$D$39:$D$78,0),MATCH(C230,RadCompList!$E$38:$J$38,0))),0))))*E230,0)*$A$2</f>
        <v>0</v>
      </c>
      <c r="I230" s="34">
        <f t="shared" si="13"/>
        <v>0</v>
      </c>
      <c r="J230" s="35">
        <f>IFERROR(VLOOKUP(G230,VentList!$A$1:$D$198,2,FALSE),0)</f>
        <v>0</v>
      </c>
      <c r="K230" s="26">
        <f>IFERROR(VLOOKUP(B230,RadCompList!$P$3:$Q$6,2,FALSE)*H230,0)</f>
        <v>0</v>
      </c>
      <c r="L230" s="26" t="str">
        <f t="shared" si="16"/>
        <v>3/4</v>
      </c>
      <c r="M230" s="37">
        <f>Main!$G$8-0.0001306*N230^2 * F230*(1+3.6/VLOOKUP(L230,Calculations!$B$4:$F$15,2,FALSE))/(3600*Main!$C$7*VLOOKUP(L230,Calculations!$B$4:$F$15,2,FALSE)^5)</f>
        <v>0.14820436411902377</v>
      </c>
      <c r="N230" s="37">
        <f t="shared" si="14"/>
        <v>0</v>
      </c>
      <c r="O230" s="37">
        <f>IF(H230&lt;32,SteamProperties!$F$24*Radiators!F230,IF(H230&lt;56,SteamProperties!$F$25*Radiators!F230,SteamProperties!$F$26*Radiators!F230))</f>
        <v>0</v>
      </c>
      <c r="P230" s="37">
        <f>IF(H230&lt;32,Calculations!$F$5*Radiators!F230,IF(H230&lt;56,Calculations!$F$6*Radiators!F230,Calculations!$F$7*Radiators!F230))</f>
        <v>0</v>
      </c>
      <c r="Q230" s="37">
        <f t="shared" si="15"/>
        <v>0</v>
      </c>
    </row>
    <row r="231" spans="2:17">
      <c r="B231" s="33"/>
      <c r="C231" s="34"/>
      <c r="D231" s="34"/>
      <c r="E231" s="34"/>
      <c r="F231" s="34"/>
      <c r="G231" s="34"/>
      <c r="H231" s="34">
        <f>IFERROR(IF(B231="Column",INDEX(RadCompList!$C$4:$G$13,MATCH(C231,RadCompList!$B$4:$B$13),MATCH(Radiators!D231,RadCompList!$C$3:$G$3)),IF(B231="Tube",INDEX(RadCompList!$C$16:$I$22,MATCH(C231,RadCompList!$B$16:$B$22),MATCH(Radiators!D231,RadCompList!$C$15:$I$15)),IF(B231="Cast Rad/Conv",INDEX(RadCompList!$C$28:$D$28,MATCH(C231,RadCompList!$B$28),MATCH(Radiators!D231,RadCompList!$C$27:$D$27)),IF(B231="Copper Cabinet",(INDEX(RadCompList!$E$39:$J$78,MATCH(Radiators!D231,RadCompList!$D$39:$D$78,0),MATCH(C231,RadCompList!$E$38:$J$38,0))),0))))*E231,0)*$A$2</f>
        <v>0</v>
      </c>
      <c r="I231" s="34">
        <f t="shared" si="13"/>
        <v>0</v>
      </c>
      <c r="J231" s="35">
        <f>IFERROR(VLOOKUP(G231,VentList!$A$1:$D$198,2,FALSE),0)</f>
        <v>0</v>
      </c>
      <c r="K231" s="26">
        <f>IFERROR(VLOOKUP(B231,RadCompList!$P$3:$Q$6,2,FALSE)*H231,0)</f>
        <v>0</v>
      </c>
      <c r="L231" s="26" t="str">
        <f t="shared" si="16"/>
        <v>3/4</v>
      </c>
      <c r="M231" s="37">
        <f>Main!$G$8-0.0001306*N231^2 * F231*(1+3.6/VLOOKUP(L231,Calculations!$B$4:$F$15,2,FALSE))/(3600*Main!$C$7*VLOOKUP(L231,Calculations!$B$4:$F$15,2,FALSE)^5)</f>
        <v>0.14820436411902377</v>
      </c>
      <c r="N231" s="37">
        <f t="shared" si="14"/>
        <v>0</v>
      </c>
      <c r="O231" s="37">
        <f>IF(H231&lt;32,SteamProperties!$F$24*Radiators!F231,IF(H231&lt;56,SteamProperties!$F$25*Radiators!F231,SteamProperties!$F$26*Radiators!F231))</f>
        <v>0</v>
      </c>
      <c r="P231" s="37">
        <f>IF(H231&lt;32,Calculations!$F$5*Radiators!F231,IF(H231&lt;56,Calculations!$F$6*Radiators!F231,Calculations!$F$7*Radiators!F231))</f>
        <v>0</v>
      </c>
      <c r="Q231" s="37">
        <f t="shared" si="15"/>
        <v>0</v>
      </c>
    </row>
    <row r="232" spans="2:17">
      <c r="B232" s="33"/>
      <c r="C232" s="34"/>
      <c r="D232" s="34"/>
      <c r="E232" s="34"/>
      <c r="F232" s="34"/>
      <c r="G232" s="34"/>
      <c r="H232" s="34">
        <f>IFERROR(IF(B232="Column",INDEX(RadCompList!$C$4:$G$13,MATCH(C232,RadCompList!$B$4:$B$13),MATCH(Radiators!D232,RadCompList!$C$3:$G$3)),IF(B232="Tube",INDEX(RadCompList!$C$16:$I$22,MATCH(C232,RadCompList!$B$16:$B$22),MATCH(Radiators!D232,RadCompList!$C$15:$I$15)),IF(B232="Cast Rad/Conv",INDEX(RadCompList!$C$28:$D$28,MATCH(C232,RadCompList!$B$28),MATCH(Radiators!D232,RadCompList!$C$27:$D$27)),IF(B232="Copper Cabinet",(INDEX(RadCompList!$E$39:$J$78,MATCH(Radiators!D232,RadCompList!$D$39:$D$78,0),MATCH(C232,RadCompList!$E$38:$J$38,0))),0))))*E232,0)*$A$2</f>
        <v>0</v>
      </c>
      <c r="I232" s="34">
        <f t="shared" si="13"/>
        <v>0</v>
      </c>
      <c r="J232" s="35">
        <f>IFERROR(VLOOKUP(G232,VentList!$A$1:$D$198,2,FALSE),0)</f>
        <v>0</v>
      </c>
      <c r="K232" s="26">
        <f>IFERROR(VLOOKUP(B232,RadCompList!$P$3:$Q$6,2,FALSE)*H232,0)</f>
        <v>0</v>
      </c>
      <c r="L232" s="26" t="str">
        <f t="shared" si="16"/>
        <v>3/4</v>
      </c>
      <c r="M232" s="37">
        <f>Main!$G$8-0.0001306*N232^2 * F232*(1+3.6/VLOOKUP(L232,Calculations!$B$4:$F$15,2,FALSE))/(3600*Main!$C$7*VLOOKUP(L232,Calculations!$B$4:$F$15,2,FALSE)^5)</f>
        <v>0.14820436411902377</v>
      </c>
      <c r="N232" s="37">
        <f t="shared" si="14"/>
        <v>0</v>
      </c>
      <c r="O232" s="37">
        <f>IF(H232&lt;32,SteamProperties!$F$24*Radiators!F232,IF(H232&lt;56,SteamProperties!$F$25*Radiators!F232,SteamProperties!$F$26*Radiators!F232))</f>
        <v>0</v>
      </c>
      <c r="P232" s="37">
        <f>IF(H232&lt;32,Calculations!$F$5*Radiators!F232,IF(H232&lt;56,Calculations!$F$6*Radiators!F232,Calculations!$F$7*Radiators!F232))</f>
        <v>0</v>
      </c>
      <c r="Q232" s="37">
        <f t="shared" si="15"/>
        <v>0</v>
      </c>
    </row>
    <row r="233" spans="2:17">
      <c r="B233" s="33"/>
      <c r="C233" s="34"/>
      <c r="D233" s="34"/>
      <c r="E233" s="34"/>
      <c r="F233" s="34"/>
      <c r="G233" s="34"/>
      <c r="H233" s="34">
        <f>IFERROR(IF(B233="Column",INDEX(RadCompList!$C$4:$G$13,MATCH(C233,RadCompList!$B$4:$B$13),MATCH(Radiators!D233,RadCompList!$C$3:$G$3)),IF(B233="Tube",INDEX(RadCompList!$C$16:$I$22,MATCH(C233,RadCompList!$B$16:$B$22),MATCH(Radiators!D233,RadCompList!$C$15:$I$15)),IF(B233="Cast Rad/Conv",INDEX(RadCompList!$C$28:$D$28,MATCH(C233,RadCompList!$B$28),MATCH(Radiators!D233,RadCompList!$C$27:$D$27)),IF(B233="Copper Cabinet",(INDEX(RadCompList!$E$39:$J$78,MATCH(Radiators!D233,RadCompList!$D$39:$D$78,0),MATCH(C233,RadCompList!$E$38:$J$38,0))),0))))*E233,0)*$A$2</f>
        <v>0</v>
      </c>
      <c r="I233" s="34">
        <f t="shared" si="13"/>
        <v>0</v>
      </c>
      <c r="J233" s="35">
        <f>IFERROR(VLOOKUP(G233,VentList!$A$1:$D$198,2,FALSE),0)</f>
        <v>0</v>
      </c>
      <c r="K233" s="26">
        <f>IFERROR(VLOOKUP(B233,RadCompList!$P$3:$Q$6,2,FALSE)*H233,0)</f>
        <v>0</v>
      </c>
      <c r="L233" s="26" t="str">
        <f t="shared" si="16"/>
        <v>3/4</v>
      </c>
      <c r="M233" s="37">
        <f>Main!$G$8-0.0001306*N233^2 * F233*(1+3.6/VLOOKUP(L233,Calculations!$B$4:$F$15,2,FALSE))/(3600*Main!$C$7*VLOOKUP(L233,Calculations!$B$4:$F$15,2,FALSE)^5)</f>
        <v>0.14820436411902377</v>
      </c>
      <c r="N233" s="37">
        <f t="shared" si="14"/>
        <v>0</v>
      </c>
      <c r="O233" s="37">
        <f>IF(H233&lt;32,SteamProperties!$F$24*Radiators!F233,IF(H233&lt;56,SteamProperties!$F$25*Radiators!F233,SteamProperties!$F$26*Radiators!F233))</f>
        <v>0</v>
      </c>
      <c r="P233" s="37">
        <f>IF(H233&lt;32,Calculations!$F$5*Radiators!F233,IF(H233&lt;56,Calculations!$F$6*Radiators!F233,Calculations!$F$7*Radiators!F233))</f>
        <v>0</v>
      </c>
      <c r="Q233" s="37">
        <f t="shared" si="15"/>
        <v>0</v>
      </c>
    </row>
    <row r="234" spans="2:17">
      <c r="B234" s="33"/>
      <c r="C234" s="34"/>
      <c r="D234" s="34"/>
      <c r="E234" s="34"/>
      <c r="F234" s="34"/>
      <c r="G234" s="34"/>
      <c r="H234" s="34">
        <f>IFERROR(IF(B234="Column",INDEX(RadCompList!$C$4:$G$13,MATCH(C234,RadCompList!$B$4:$B$13),MATCH(Radiators!D234,RadCompList!$C$3:$G$3)),IF(B234="Tube",INDEX(RadCompList!$C$16:$I$22,MATCH(C234,RadCompList!$B$16:$B$22),MATCH(Radiators!D234,RadCompList!$C$15:$I$15)),IF(B234="Cast Rad/Conv",INDEX(RadCompList!$C$28:$D$28,MATCH(C234,RadCompList!$B$28),MATCH(Radiators!D234,RadCompList!$C$27:$D$27)),IF(B234="Copper Cabinet",(INDEX(RadCompList!$E$39:$J$78,MATCH(Radiators!D234,RadCompList!$D$39:$D$78,0),MATCH(C234,RadCompList!$E$38:$J$38,0))),0))))*E234,0)*$A$2</f>
        <v>0</v>
      </c>
      <c r="I234" s="34">
        <f t="shared" si="13"/>
        <v>0</v>
      </c>
      <c r="J234" s="35">
        <f>IFERROR(VLOOKUP(G234,VentList!$A$1:$D$198,2,FALSE),0)</f>
        <v>0</v>
      </c>
      <c r="K234" s="26">
        <f>IFERROR(VLOOKUP(B234,RadCompList!$P$3:$Q$6,2,FALSE)*H234,0)</f>
        <v>0</v>
      </c>
      <c r="L234" s="26" t="str">
        <f t="shared" si="16"/>
        <v>3/4</v>
      </c>
      <c r="M234" s="37">
        <f>Main!$G$8-0.0001306*N234^2 * F234*(1+3.6/VLOOKUP(L234,Calculations!$B$4:$F$15,2,FALSE))/(3600*Main!$C$7*VLOOKUP(L234,Calculations!$B$4:$F$15,2,FALSE)^5)</f>
        <v>0.14820436411902377</v>
      </c>
      <c r="N234" s="37">
        <f t="shared" si="14"/>
        <v>0</v>
      </c>
      <c r="O234" s="37">
        <f>IF(H234&lt;32,SteamProperties!$F$24*Radiators!F234,IF(H234&lt;56,SteamProperties!$F$25*Radiators!F234,SteamProperties!$F$26*Radiators!F234))</f>
        <v>0</v>
      </c>
      <c r="P234" s="37">
        <f>IF(H234&lt;32,Calculations!$F$5*Radiators!F234,IF(H234&lt;56,Calculations!$F$6*Radiators!F234,Calculations!$F$7*Radiators!F234))</f>
        <v>0</v>
      </c>
      <c r="Q234" s="37">
        <f t="shared" si="15"/>
        <v>0</v>
      </c>
    </row>
    <row r="235" spans="2:17">
      <c r="B235" s="33"/>
      <c r="C235" s="34"/>
      <c r="D235" s="34"/>
      <c r="E235" s="34"/>
      <c r="F235" s="34"/>
      <c r="G235" s="34"/>
      <c r="H235" s="34">
        <f>IFERROR(IF(B235="Column",INDEX(RadCompList!$C$4:$G$13,MATCH(C235,RadCompList!$B$4:$B$13),MATCH(Radiators!D235,RadCompList!$C$3:$G$3)),IF(B235="Tube",INDEX(RadCompList!$C$16:$I$22,MATCH(C235,RadCompList!$B$16:$B$22),MATCH(Radiators!D235,RadCompList!$C$15:$I$15)),IF(B235="Cast Rad/Conv",INDEX(RadCompList!$C$28:$D$28,MATCH(C235,RadCompList!$B$28),MATCH(Radiators!D235,RadCompList!$C$27:$D$27)),IF(B235="Copper Cabinet",(INDEX(RadCompList!$E$39:$J$78,MATCH(Radiators!D235,RadCompList!$D$39:$D$78,0),MATCH(C235,RadCompList!$E$38:$J$38,0))),0))))*E235,0)*$A$2</f>
        <v>0</v>
      </c>
      <c r="I235" s="34">
        <f t="shared" si="13"/>
        <v>0</v>
      </c>
      <c r="J235" s="35">
        <f>IFERROR(VLOOKUP(G235,VentList!$A$1:$D$198,2,FALSE),0)</f>
        <v>0</v>
      </c>
      <c r="K235" s="26">
        <f>IFERROR(VLOOKUP(B235,RadCompList!$P$3:$Q$6,2,FALSE)*H235,0)</f>
        <v>0</v>
      </c>
      <c r="L235" s="26" t="str">
        <f t="shared" si="16"/>
        <v>3/4</v>
      </c>
      <c r="M235" s="37">
        <f>Main!$G$8-0.0001306*N235^2 * F235*(1+3.6/VLOOKUP(L235,Calculations!$B$4:$F$15,2,FALSE))/(3600*Main!$C$7*VLOOKUP(L235,Calculations!$B$4:$F$15,2,FALSE)^5)</f>
        <v>0.14820436411902377</v>
      </c>
      <c r="N235" s="37">
        <f t="shared" si="14"/>
        <v>0</v>
      </c>
      <c r="O235" s="37">
        <f>IF(H235&lt;32,SteamProperties!$F$24*Radiators!F235,IF(H235&lt;56,SteamProperties!$F$25*Radiators!F235,SteamProperties!$F$26*Radiators!F235))</f>
        <v>0</v>
      </c>
      <c r="P235" s="37">
        <f>IF(H235&lt;32,Calculations!$F$5*Radiators!F235,IF(H235&lt;56,Calculations!$F$6*Radiators!F235,Calculations!$F$7*Radiators!F235))</f>
        <v>0</v>
      </c>
      <c r="Q235" s="37">
        <f t="shared" si="15"/>
        <v>0</v>
      </c>
    </row>
    <row r="236" spans="2:17">
      <c r="B236" s="33"/>
      <c r="C236" s="34"/>
      <c r="D236" s="34"/>
      <c r="E236" s="34"/>
      <c r="F236" s="34"/>
      <c r="G236" s="34"/>
      <c r="H236" s="34">
        <f>IFERROR(IF(B236="Column",INDEX(RadCompList!$C$4:$G$13,MATCH(C236,RadCompList!$B$4:$B$13),MATCH(Radiators!D236,RadCompList!$C$3:$G$3)),IF(B236="Tube",INDEX(RadCompList!$C$16:$I$22,MATCH(C236,RadCompList!$B$16:$B$22),MATCH(Radiators!D236,RadCompList!$C$15:$I$15)),IF(B236="Cast Rad/Conv",INDEX(RadCompList!$C$28:$D$28,MATCH(C236,RadCompList!$B$28),MATCH(Radiators!D236,RadCompList!$C$27:$D$27)),IF(B236="Copper Cabinet",(INDEX(RadCompList!$E$39:$J$78,MATCH(Radiators!D236,RadCompList!$D$39:$D$78,0),MATCH(C236,RadCompList!$E$38:$J$38,0))),0))))*E236,0)*$A$2</f>
        <v>0</v>
      </c>
      <c r="I236" s="34">
        <f t="shared" si="13"/>
        <v>0</v>
      </c>
      <c r="J236" s="35">
        <f>IFERROR(VLOOKUP(G236,VentList!$A$1:$D$198,2,FALSE),0)</f>
        <v>0</v>
      </c>
      <c r="K236" s="26">
        <f>IFERROR(VLOOKUP(B236,RadCompList!$P$3:$Q$6,2,FALSE)*H236,0)</f>
        <v>0</v>
      </c>
      <c r="L236" s="26" t="str">
        <f t="shared" si="16"/>
        <v>3/4</v>
      </c>
      <c r="M236" s="37">
        <f>Main!$G$8-0.0001306*N236^2 * F236*(1+3.6/VLOOKUP(L236,Calculations!$B$4:$F$15,2,FALSE))/(3600*Main!$C$7*VLOOKUP(L236,Calculations!$B$4:$F$15,2,FALSE)^5)</f>
        <v>0.14820436411902377</v>
      </c>
      <c r="N236" s="37">
        <f t="shared" si="14"/>
        <v>0</v>
      </c>
      <c r="O236" s="37">
        <f>IF(H236&lt;32,SteamProperties!$F$24*Radiators!F236,IF(H236&lt;56,SteamProperties!$F$25*Radiators!F236,SteamProperties!$F$26*Radiators!F236))</f>
        <v>0</v>
      </c>
      <c r="P236" s="37">
        <f>IF(H236&lt;32,Calculations!$F$5*Radiators!F236,IF(H236&lt;56,Calculations!$F$6*Radiators!F236,Calculations!$F$7*Radiators!F236))</f>
        <v>0</v>
      </c>
      <c r="Q236" s="37">
        <f t="shared" si="15"/>
        <v>0</v>
      </c>
    </row>
    <row r="237" spans="2:17">
      <c r="B237" s="33"/>
      <c r="C237" s="34"/>
      <c r="D237" s="34"/>
      <c r="E237" s="34"/>
      <c r="F237" s="34"/>
      <c r="G237" s="34"/>
      <c r="H237" s="34">
        <f>IFERROR(IF(B237="Column",INDEX(RadCompList!$C$4:$G$13,MATCH(C237,RadCompList!$B$4:$B$13),MATCH(Radiators!D237,RadCompList!$C$3:$G$3)),IF(B237="Tube",INDEX(RadCompList!$C$16:$I$22,MATCH(C237,RadCompList!$B$16:$B$22),MATCH(Radiators!D237,RadCompList!$C$15:$I$15)),IF(B237="Cast Rad/Conv",INDEX(RadCompList!$C$28:$D$28,MATCH(C237,RadCompList!$B$28),MATCH(Radiators!D237,RadCompList!$C$27:$D$27)),IF(B237="Copper Cabinet",(INDEX(RadCompList!$E$39:$J$78,MATCH(Radiators!D237,RadCompList!$D$39:$D$78,0),MATCH(C237,RadCompList!$E$38:$J$38,0))),0))))*E237,0)*$A$2</f>
        <v>0</v>
      </c>
      <c r="I237" s="34">
        <f t="shared" si="13"/>
        <v>0</v>
      </c>
      <c r="J237" s="35">
        <f>IFERROR(VLOOKUP(G237,VentList!$A$1:$D$198,2,FALSE),0)</f>
        <v>0</v>
      </c>
      <c r="K237" s="26">
        <f>IFERROR(VLOOKUP(B237,RadCompList!$P$3:$Q$6,2,FALSE)*H237,0)</f>
        <v>0</v>
      </c>
      <c r="L237" s="26" t="str">
        <f t="shared" si="16"/>
        <v>3/4</v>
      </c>
      <c r="M237" s="37">
        <f>Main!$G$8-0.0001306*N237^2 * F237*(1+3.6/VLOOKUP(L237,Calculations!$B$4:$F$15,2,FALSE))/(3600*Main!$C$7*VLOOKUP(L237,Calculations!$B$4:$F$15,2,FALSE)^5)</f>
        <v>0.14820436411902377</v>
      </c>
      <c r="N237" s="37">
        <f t="shared" si="14"/>
        <v>0</v>
      </c>
      <c r="O237" s="37">
        <f>IF(H237&lt;32,SteamProperties!$F$24*Radiators!F237,IF(H237&lt;56,SteamProperties!$F$25*Radiators!F237,SteamProperties!$F$26*Radiators!F237))</f>
        <v>0</v>
      </c>
      <c r="P237" s="37">
        <f>IF(H237&lt;32,Calculations!$F$5*Radiators!F237,IF(H237&lt;56,Calculations!$F$6*Radiators!F237,Calculations!$F$7*Radiators!F237))</f>
        <v>0</v>
      </c>
      <c r="Q237" s="37">
        <f t="shared" si="15"/>
        <v>0</v>
      </c>
    </row>
    <row r="238" spans="2:17">
      <c r="B238" s="33"/>
      <c r="C238" s="34"/>
      <c r="D238" s="34"/>
      <c r="E238" s="34"/>
      <c r="F238" s="34"/>
      <c r="G238" s="34"/>
      <c r="H238" s="34">
        <f>IFERROR(IF(B238="Column",INDEX(RadCompList!$C$4:$G$13,MATCH(C238,RadCompList!$B$4:$B$13),MATCH(Radiators!D238,RadCompList!$C$3:$G$3)),IF(B238="Tube",INDEX(RadCompList!$C$16:$I$22,MATCH(C238,RadCompList!$B$16:$B$22),MATCH(Radiators!D238,RadCompList!$C$15:$I$15)),IF(B238="Cast Rad/Conv",INDEX(RadCompList!$C$28:$D$28,MATCH(C238,RadCompList!$B$28),MATCH(Radiators!D238,RadCompList!$C$27:$D$27)),IF(B238="Copper Cabinet",(INDEX(RadCompList!$E$39:$J$78,MATCH(Radiators!D238,RadCompList!$D$39:$D$78,0),MATCH(C238,RadCompList!$E$38:$J$38,0))),0))))*E238,0)*$A$2</f>
        <v>0</v>
      </c>
      <c r="I238" s="34">
        <f t="shared" si="13"/>
        <v>0</v>
      </c>
      <c r="J238" s="35">
        <f>IFERROR(VLOOKUP(G238,VentList!$A$1:$D$198,2,FALSE),0)</f>
        <v>0</v>
      </c>
      <c r="K238" s="26">
        <f>IFERROR(VLOOKUP(B238,RadCompList!$P$3:$Q$6,2,FALSE)*H238,0)</f>
        <v>0</v>
      </c>
      <c r="L238" s="26" t="str">
        <f t="shared" si="16"/>
        <v>3/4</v>
      </c>
      <c r="M238" s="37">
        <f>Main!$G$8-0.0001306*N238^2 * F238*(1+3.6/VLOOKUP(L238,Calculations!$B$4:$F$15,2,FALSE))/(3600*Main!$C$7*VLOOKUP(L238,Calculations!$B$4:$F$15,2,FALSE)^5)</f>
        <v>0.14820436411902377</v>
      </c>
      <c r="N238" s="37">
        <f t="shared" si="14"/>
        <v>0</v>
      </c>
      <c r="O238" s="37">
        <f>IF(H238&lt;32,SteamProperties!$F$24*Radiators!F238,IF(H238&lt;56,SteamProperties!$F$25*Radiators!F238,SteamProperties!$F$26*Radiators!F238))</f>
        <v>0</v>
      </c>
      <c r="P238" s="37">
        <f>IF(H238&lt;32,Calculations!$F$5*Radiators!F238,IF(H238&lt;56,Calculations!$F$6*Radiators!F238,Calculations!$F$7*Radiators!F238))</f>
        <v>0</v>
      </c>
      <c r="Q238" s="37">
        <f t="shared" si="15"/>
        <v>0</v>
      </c>
    </row>
    <row r="239" spans="2:17">
      <c r="B239" s="33"/>
      <c r="C239" s="34"/>
      <c r="D239" s="34"/>
      <c r="E239" s="34"/>
      <c r="F239" s="34"/>
      <c r="G239" s="34"/>
      <c r="H239" s="34">
        <f>IFERROR(IF(B239="Column",INDEX(RadCompList!$C$4:$G$13,MATCH(C239,RadCompList!$B$4:$B$13),MATCH(Radiators!D239,RadCompList!$C$3:$G$3)),IF(B239="Tube",INDEX(RadCompList!$C$16:$I$22,MATCH(C239,RadCompList!$B$16:$B$22),MATCH(Radiators!D239,RadCompList!$C$15:$I$15)),IF(B239="Cast Rad/Conv",INDEX(RadCompList!$C$28:$D$28,MATCH(C239,RadCompList!$B$28),MATCH(Radiators!D239,RadCompList!$C$27:$D$27)),IF(B239="Copper Cabinet",(INDEX(RadCompList!$E$39:$J$78,MATCH(Radiators!D239,RadCompList!$D$39:$D$78,0),MATCH(C239,RadCompList!$E$38:$J$38,0))),0))))*E239,0)*$A$2</f>
        <v>0</v>
      </c>
      <c r="I239" s="34">
        <f t="shared" si="13"/>
        <v>0</v>
      </c>
      <c r="J239" s="35">
        <f>IFERROR(VLOOKUP(G239,VentList!$A$1:$D$198,2,FALSE),0)</f>
        <v>0</v>
      </c>
      <c r="K239" s="26">
        <f>IFERROR(VLOOKUP(B239,RadCompList!$P$3:$Q$6,2,FALSE)*H239,0)</f>
        <v>0</v>
      </c>
      <c r="L239" s="26" t="str">
        <f t="shared" si="16"/>
        <v>3/4</v>
      </c>
      <c r="M239" s="37">
        <f>Main!$G$8-0.0001306*N239^2 * F239*(1+3.6/VLOOKUP(L239,Calculations!$B$4:$F$15,2,FALSE))/(3600*Main!$C$7*VLOOKUP(L239,Calculations!$B$4:$F$15,2,FALSE)^5)</f>
        <v>0.14820436411902377</v>
      </c>
      <c r="N239" s="37">
        <f t="shared" si="14"/>
        <v>0</v>
      </c>
      <c r="O239" s="37">
        <f>IF(H239&lt;32,SteamProperties!$F$24*Radiators!F239,IF(H239&lt;56,SteamProperties!$F$25*Radiators!F239,SteamProperties!$F$26*Radiators!F239))</f>
        <v>0</v>
      </c>
      <c r="P239" s="37">
        <f>IF(H239&lt;32,Calculations!$F$5*Radiators!F239,IF(H239&lt;56,Calculations!$F$6*Radiators!F239,Calculations!$F$7*Radiators!F239))</f>
        <v>0</v>
      </c>
      <c r="Q239" s="37">
        <f t="shared" si="15"/>
        <v>0</v>
      </c>
    </row>
    <row r="240" spans="2:17">
      <c r="B240" s="33"/>
      <c r="C240" s="34"/>
      <c r="D240" s="34"/>
      <c r="E240" s="34"/>
      <c r="F240" s="34"/>
      <c r="G240" s="34"/>
      <c r="H240" s="34">
        <f>IFERROR(IF(B240="Column",INDEX(RadCompList!$C$4:$G$13,MATCH(C240,RadCompList!$B$4:$B$13),MATCH(Radiators!D240,RadCompList!$C$3:$G$3)),IF(B240="Tube",INDEX(RadCompList!$C$16:$I$22,MATCH(C240,RadCompList!$B$16:$B$22),MATCH(Radiators!D240,RadCompList!$C$15:$I$15)),IF(B240="Cast Rad/Conv",INDEX(RadCompList!$C$28:$D$28,MATCH(C240,RadCompList!$B$28),MATCH(Radiators!D240,RadCompList!$C$27:$D$27)),IF(B240="Copper Cabinet",(INDEX(RadCompList!$E$39:$J$78,MATCH(Radiators!D240,RadCompList!$D$39:$D$78,0),MATCH(C240,RadCompList!$E$38:$J$38,0))),0))))*E240,0)*$A$2</f>
        <v>0</v>
      </c>
      <c r="I240" s="34">
        <f t="shared" si="13"/>
        <v>0</v>
      </c>
      <c r="J240" s="35">
        <f>IFERROR(VLOOKUP(G240,VentList!$A$1:$D$198,2,FALSE),0)</f>
        <v>0</v>
      </c>
      <c r="K240" s="26">
        <f>IFERROR(VLOOKUP(B240,RadCompList!$P$3:$Q$6,2,FALSE)*H240,0)</f>
        <v>0</v>
      </c>
      <c r="L240" s="26" t="str">
        <f t="shared" si="16"/>
        <v>3/4</v>
      </c>
      <c r="M240" s="37">
        <f>Main!$G$8-0.0001306*N240^2 * F240*(1+3.6/VLOOKUP(L240,Calculations!$B$4:$F$15,2,FALSE))/(3600*Main!$C$7*VLOOKUP(L240,Calculations!$B$4:$F$15,2,FALSE)^5)</f>
        <v>0.14820436411902377</v>
      </c>
      <c r="N240" s="37">
        <f t="shared" si="14"/>
        <v>0</v>
      </c>
      <c r="O240" s="37">
        <f>IF(H240&lt;32,SteamProperties!$F$24*Radiators!F240,IF(H240&lt;56,SteamProperties!$F$25*Radiators!F240,SteamProperties!$F$26*Radiators!F240))</f>
        <v>0</v>
      </c>
      <c r="P240" s="37">
        <f>IF(H240&lt;32,Calculations!$F$5*Radiators!F240,IF(H240&lt;56,Calculations!$F$6*Radiators!F240,Calculations!$F$7*Radiators!F240))</f>
        <v>0</v>
      </c>
      <c r="Q240" s="37">
        <f t="shared" si="15"/>
        <v>0</v>
      </c>
    </row>
    <row r="241" spans="2:17">
      <c r="B241" s="33"/>
      <c r="C241" s="34"/>
      <c r="D241" s="34"/>
      <c r="E241" s="34"/>
      <c r="F241" s="34"/>
      <c r="G241" s="34"/>
      <c r="H241" s="34">
        <f>IFERROR(IF(B241="Column",INDEX(RadCompList!$C$4:$G$13,MATCH(C241,RadCompList!$B$4:$B$13),MATCH(Radiators!D241,RadCompList!$C$3:$G$3)),IF(B241="Tube",INDEX(RadCompList!$C$16:$I$22,MATCH(C241,RadCompList!$B$16:$B$22),MATCH(Radiators!D241,RadCompList!$C$15:$I$15)),IF(B241="Cast Rad/Conv",INDEX(RadCompList!$C$28:$D$28,MATCH(C241,RadCompList!$B$28),MATCH(Radiators!D241,RadCompList!$C$27:$D$27)),IF(B241="Copper Cabinet",(INDEX(RadCompList!$E$39:$J$78,MATCH(Radiators!D241,RadCompList!$D$39:$D$78,0),MATCH(C241,RadCompList!$E$38:$J$38,0))),0))))*E241,0)*$A$2</f>
        <v>0</v>
      </c>
      <c r="I241" s="34">
        <f t="shared" si="13"/>
        <v>0</v>
      </c>
      <c r="J241" s="35">
        <f>IFERROR(VLOOKUP(G241,VentList!$A$1:$D$198,2,FALSE),0)</f>
        <v>0</v>
      </c>
      <c r="K241" s="26">
        <f>IFERROR(VLOOKUP(B241,RadCompList!$P$3:$Q$6,2,FALSE)*H241,0)</f>
        <v>0</v>
      </c>
      <c r="L241" s="26" t="str">
        <f t="shared" si="16"/>
        <v>3/4</v>
      </c>
      <c r="M241" s="37">
        <f>Main!$G$8-0.0001306*N241^2 * F241*(1+3.6/VLOOKUP(L241,Calculations!$B$4:$F$15,2,FALSE))/(3600*Main!$C$7*VLOOKUP(L241,Calculations!$B$4:$F$15,2,FALSE)^5)</f>
        <v>0.14820436411902377</v>
      </c>
      <c r="N241" s="37">
        <f t="shared" si="14"/>
        <v>0</v>
      </c>
      <c r="O241" s="37">
        <f>IF(H241&lt;32,SteamProperties!$F$24*Radiators!F241,IF(H241&lt;56,SteamProperties!$F$25*Radiators!F241,SteamProperties!$F$26*Radiators!F241))</f>
        <v>0</v>
      </c>
      <c r="P241" s="37">
        <f>IF(H241&lt;32,Calculations!$F$5*Radiators!F241,IF(H241&lt;56,Calculations!$F$6*Radiators!F241,Calculations!$F$7*Radiators!F241))</f>
        <v>0</v>
      </c>
      <c r="Q241" s="37">
        <f t="shared" si="15"/>
        <v>0</v>
      </c>
    </row>
    <row r="242" spans="2:17">
      <c r="B242" s="33"/>
      <c r="C242" s="34"/>
      <c r="D242" s="34"/>
      <c r="E242" s="34"/>
      <c r="F242" s="34"/>
      <c r="G242" s="34"/>
      <c r="H242" s="34">
        <f>IFERROR(IF(B242="Column",INDEX(RadCompList!$C$4:$G$13,MATCH(C242,RadCompList!$B$4:$B$13),MATCH(Radiators!D242,RadCompList!$C$3:$G$3)),IF(B242="Tube",INDEX(RadCompList!$C$16:$I$22,MATCH(C242,RadCompList!$B$16:$B$22),MATCH(Radiators!D242,RadCompList!$C$15:$I$15)),IF(B242="Cast Rad/Conv",INDEX(RadCompList!$C$28:$D$28,MATCH(C242,RadCompList!$B$28),MATCH(Radiators!D242,RadCompList!$C$27:$D$27)),IF(B242="Copper Cabinet",(INDEX(RadCompList!$E$39:$J$78,MATCH(Radiators!D242,RadCompList!$D$39:$D$78,0),MATCH(C242,RadCompList!$E$38:$J$38,0))),0))))*E242,0)*$A$2</f>
        <v>0</v>
      </c>
      <c r="I242" s="34">
        <f t="shared" si="13"/>
        <v>0</v>
      </c>
      <c r="J242" s="35">
        <f>IFERROR(VLOOKUP(G242,VentList!$A$1:$D$198,2,FALSE),0)</f>
        <v>0</v>
      </c>
      <c r="K242" s="26">
        <f>IFERROR(VLOOKUP(B242,RadCompList!$P$3:$Q$6,2,FALSE)*H242,0)</f>
        <v>0</v>
      </c>
      <c r="L242" s="26" t="str">
        <f t="shared" si="16"/>
        <v>3/4</v>
      </c>
      <c r="M242" s="37">
        <f>Main!$G$8-0.0001306*N242^2 * F242*(1+3.6/VLOOKUP(L242,Calculations!$B$4:$F$15,2,FALSE))/(3600*Main!$C$7*VLOOKUP(L242,Calculations!$B$4:$F$15,2,FALSE)^5)</f>
        <v>0.14820436411902377</v>
      </c>
      <c r="N242" s="37">
        <f t="shared" si="14"/>
        <v>0</v>
      </c>
      <c r="O242" s="37">
        <f>IF(H242&lt;32,SteamProperties!$F$24*Radiators!F242,IF(H242&lt;56,SteamProperties!$F$25*Radiators!F242,SteamProperties!$F$26*Radiators!F242))</f>
        <v>0</v>
      </c>
      <c r="P242" s="37">
        <f>IF(H242&lt;32,Calculations!$F$5*Radiators!F242,IF(H242&lt;56,Calculations!$F$6*Radiators!F242,Calculations!$F$7*Radiators!F242))</f>
        <v>0</v>
      </c>
      <c r="Q242" s="37">
        <f t="shared" si="15"/>
        <v>0</v>
      </c>
    </row>
    <row r="243" spans="2:17">
      <c r="B243" s="33"/>
      <c r="C243" s="34"/>
      <c r="D243" s="34"/>
      <c r="E243" s="34"/>
      <c r="F243" s="34"/>
      <c r="G243" s="34"/>
      <c r="H243" s="34">
        <f>IFERROR(IF(B243="Column",INDEX(RadCompList!$C$4:$G$13,MATCH(C243,RadCompList!$B$4:$B$13),MATCH(Radiators!D243,RadCompList!$C$3:$G$3)),IF(B243="Tube",INDEX(RadCompList!$C$16:$I$22,MATCH(C243,RadCompList!$B$16:$B$22),MATCH(Radiators!D243,RadCompList!$C$15:$I$15)),IF(B243="Cast Rad/Conv",INDEX(RadCompList!$C$28:$D$28,MATCH(C243,RadCompList!$B$28),MATCH(Radiators!D243,RadCompList!$C$27:$D$27)),IF(B243="Copper Cabinet",(INDEX(RadCompList!$E$39:$J$78,MATCH(Radiators!D243,RadCompList!$D$39:$D$78,0),MATCH(C243,RadCompList!$E$38:$J$38,0))),0))))*E243,0)*$A$2</f>
        <v>0</v>
      </c>
      <c r="I243" s="34">
        <f t="shared" si="13"/>
        <v>0</v>
      </c>
      <c r="J243" s="35">
        <f>IFERROR(VLOOKUP(G243,VentList!$A$1:$D$198,2,FALSE),0)</f>
        <v>0</v>
      </c>
      <c r="K243" s="26">
        <f>IFERROR(VLOOKUP(B243,RadCompList!$P$3:$Q$6,2,FALSE)*H243,0)</f>
        <v>0</v>
      </c>
      <c r="L243" s="26" t="str">
        <f t="shared" si="16"/>
        <v>3/4</v>
      </c>
      <c r="M243" s="37">
        <f>Main!$G$8-0.0001306*N243^2 * F243*(1+3.6/VLOOKUP(L243,Calculations!$B$4:$F$15,2,FALSE))/(3600*Main!$C$7*VLOOKUP(L243,Calculations!$B$4:$F$15,2,FALSE)^5)</f>
        <v>0.14820436411902377</v>
      </c>
      <c r="N243" s="37">
        <f t="shared" si="14"/>
        <v>0</v>
      </c>
      <c r="O243" s="37">
        <f>IF(H243&lt;32,SteamProperties!$F$24*Radiators!F243,IF(H243&lt;56,SteamProperties!$F$25*Radiators!F243,SteamProperties!$F$26*Radiators!F243))</f>
        <v>0</v>
      </c>
      <c r="P243" s="37">
        <f>IF(H243&lt;32,Calculations!$F$5*Radiators!F243,IF(H243&lt;56,Calculations!$F$6*Radiators!F243,Calculations!$F$7*Radiators!F243))</f>
        <v>0</v>
      </c>
      <c r="Q243" s="37">
        <f t="shared" si="15"/>
        <v>0</v>
      </c>
    </row>
    <row r="244" spans="2:17">
      <c r="B244" s="33"/>
      <c r="C244" s="34"/>
      <c r="D244" s="34"/>
      <c r="E244" s="34"/>
      <c r="F244" s="34"/>
      <c r="G244" s="34"/>
      <c r="H244" s="34">
        <f>IFERROR(IF(B244="Column",INDEX(RadCompList!$C$4:$G$13,MATCH(C244,RadCompList!$B$4:$B$13),MATCH(Radiators!D244,RadCompList!$C$3:$G$3)),IF(B244="Tube",INDEX(RadCompList!$C$16:$I$22,MATCH(C244,RadCompList!$B$16:$B$22),MATCH(Radiators!D244,RadCompList!$C$15:$I$15)),IF(B244="Cast Rad/Conv",INDEX(RadCompList!$C$28:$D$28,MATCH(C244,RadCompList!$B$28),MATCH(Radiators!D244,RadCompList!$C$27:$D$27)),IF(B244="Copper Cabinet",(INDEX(RadCompList!$E$39:$J$78,MATCH(Radiators!D244,RadCompList!$D$39:$D$78,0),MATCH(C244,RadCompList!$E$38:$J$38,0))),0))))*E244,0)*$A$2</f>
        <v>0</v>
      </c>
      <c r="I244" s="34">
        <f t="shared" si="13"/>
        <v>0</v>
      </c>
      <c r="J244" s="35">
        <f>IFERROR(VLOOKUP(G244,VentList!$A$1:$D$198,2,FALSE),0)</f>
        <v>0</v>
      </c>
      <c r="K244" s="26">
        <f>IFERROR(VLOOKUP(B244,RadCompList!$P$3:$Q$6,2,FALSE)*H244,0)</f>
        <v>0</v>
      </c>
      <c r="L244" s="26" t="str">
        <f t="shared" si="16"/>
        <v>3/4</v>
      </c>
      <c r="M244" s="37">
        <f>Main!$G$8-0.0001306*N244^2 * F244*(1+3.6/VLOOKUP(L244,Calculations!$B$4:$F$15,2,FALSE))/(3600*Main!$C$7*VLOOKUP(L244,Calculations!$B$4:$F$15,2,FALSE)^5)</f>
        <v>0.14820436411902377</v>
      </c>
      <c r="N244" s="37">
        <f t="shared" si="14"/>
        <v>0</v>
      </c>
      <c r="O244" s="37">
        <f>IF(H244&lt;32,SteamProperties!$F$24*Radiators!F244,IF(H244&lt;56,SteamProperties!$F$25*Radiators!F244,SteamProperties!$F$26*Radiators!F244))</f>
        <v>0</v>
      </c>
      <c r="P244" s="37">
        <f>IF(H244&lt;32,Calculations!$F$5*Radiators!F244,IF(H244&lt;56,Calculations!$F$6*Radiators!F244,Calculations!$F$7*Radiators!F244))</f>
        <v>0</v>
      </c>
      <c r="Q244" s="37">
        <f t="shared" si="15"/>
        <v>0</v>
      </c>
    </row>
    <row r="245" spans="2:17">
      <c r="B245" s="33"/>
      <c r="C245" s="34"/>
      <c r="D245" s="34"/>
      <c r="E245" s="34"/>
      <c r="F245" s="34"/>
      <c r="G245" s="34"/>
      <c r="H245" s="34">
        <f>IFERROR(IF(B245="Column",INDEX(RadCompList!$C$4:$G$13,MATCH(C245,RadCompList!$B$4:$B$13),MATCH(Radiators!D245,RadCompList!$C$3:$G$3)),IF(B245="Tube",INDEX(RadCompList!$C$16:$I$22,MATCH(C245,RadCompList!$B$16:$B$22),MATCH(Radiators!D245,RadCompList!$C$15:$I$15)),IF(B245="Cast Rad/Conv",INDEX(RadCompList!$C$28:$D$28,MATCH(C245,RadCompList!$B$28),MATCH(Radiators!D245,RadCompList!$C$27:$D$27)),IF(B245="Copper Cabinet",(INDEX(RadCompList!$E$39:$J$78,MATCH(Radiators!D245,RadCompList!$D$39:$D$78,0),MATCH(C245,RadCompList!$E$38:$J$38,0))),0))))*E245,0)*$A$2</f>
        <v>0</v>
      </c>
      <c r="I245" s="34">
        <f t="shared" si="13"/>
        <v>0</v>
      </c>
      <c r="J245" s="35">
        <f>IFERROR(VLOOKUP(G245,VentList!$A$1:$D$198,2,FALSE),0)</f>
        <v>0</v>
      </c>
      <c r="K245" s="26">
        <f>IFERROR(VLOOKUP(B245,RadCompList!$P$3:$Q$6,2,FALSE)*H245,0)</f>
        <v>0</v>
      </c>
      <c r="L245" s="26" t="str">
        <f t="shared" si="16"/>
        <v>3/4</v>
      </c>
      <c r="M245" s="37">
        <f>Main!$G$8-0.0001306*N245^2 * F245*(1+3.6/VLOOKUP(L245,Calculations!$B$4:$F$15,2,FALSE))/(3600*Main!$C$7*VLOOKUP(L245,Calculations!$B$4:$F$15,2,FALSE)^5)</f>
        <v>0.14820436411902377</v>
      </c>
      <c r="N245" s="37">
        <f t="shared" si="14"/>
        <v>0</v>
      </c>
      <c r="O245" s="37">
        <f>IF(H245&lt;32,SteamProperties!$F$24*Radiators!F245,IF(H245&lt;56,SteamProperties!$F$25*Radiators!F245,SteamProperties!$F$26*Radiators!F245))</f>
        <v>0</v>
      </c>
      <c r="P245" s="37">
        <f>IF(H245&lt;32,Calculations!$F$5*Radiators!F245,IF(H245&lt;56,Calculations!$F$6*Radiators!F245,Calculations!$F$7*Radiators!F245))</f>
        <v>0</v>
      </c>
      <c r="Q245" s="37">
        <f t="shared" si="15"/>
        <v>0</v>
      </c>
    </row>
    <row r="246" spans="2:17">
      <c r="B246" s="33"/>
      <c r="C246" s="34"/>
      <c r="D246" s="34"/>
      <c r="E246" s="34"/>
      <c r="F246" s="34"/>
      <c r="G246" s="34"/>
      <c r="H246" s="34">
        <f>IFERROR(IF(B246="Column",INDEX(RadCompList!$C$4:$G$13,MATCH(C246,RadCompList!$B$4:$B$13),MATCH(Radiators!D246,RadCompList!$C$3:$G$3)),IF(B246="Tube",INDEX(RadCompList!$C$16:$I$22,MATCH(C246,RadCompList!$B$16:$B$22),MATCH(Radiators!D246,RadCompList!$C$15:$I$15)),IF(B246="Cast Rad/Conv",INDEX(RadCompList!$C$28:$D$28,MATCH(C246,RadCompList!$B$28),MATCH(Radiators!D246,RadCompList!$C$27:$D$27)),IF(B246="Copper Cabinet",(INDEX(RadCompList!$E$39:$J$78,MATCH(Radiators!D246,RadCompList!$D$39:$D$78,0),MATCH(C246,RadCompList!$E$38:$J$38,0))),0))))*E246,0)*$A$2</f>
        <v>0</v>
      </c>
      <c r="I246" s="34">
        <f t="shared" si="13"/>
        <v>0</v>
      </c>
      <c r="J246" s="35">
        <f>IFERROR(VLOOKUP(G246,VentList!$A$1:$D$198,2,FALSE),0)</f>
        <v>0</v>
      </c>
      <c r="K246" s="26">
        <f>IFERROR(VLOOKUP(B246,RadCompList!$P$3:$Q$6,2,FALSE)*H246,0)</f>
        <v>0</v>
      </c>
      <c r="L246" s="26" t="str">
        <f t="shared" si="16"/>
        <v>3/4</v>
      </c>
      <c r="M246" s="37">
        <f>Main!$G$8-0.0001306*N246^2 * F246*(1+3.6/VLOOKUP(L246,Calculations!$B$4:$F$15,2,FALSE))/(3600*Main!$C$7*VLOOKUP(L246,Calculations!$B$4:$F$15,2,FALSE)^5)</f>
        <v>0.14820436411902377</v>
      </c>
      <c r="N246" s="37">
        <f t="shared" si="14"/>
        <v>0</v>
      </c>
      <c r="O246" s="37">
        <f>IF(H246&lt;32,SteamProperties!$F$24*Radiators!F246,IF(H246&lt;56,SteamProperties!$F$25*Radiators!F246,SteamProperties!$F$26*Radiators!F246))</f>
        <v>0</v>
      </c>
      <c r="P246" s="37">
        <f>IF(H246&lt;32,Calculations!$F$5*Radiators!F246,IF(H246&lt;56,Calculations!$F$6*Radiators!F246,Calculations!$F$7*Radiators!F246))</f>
        <v>0</v>
      </c>
      <c r="Q246" s="37">
        <f t="shared" si="15"/>
        <v>0</v>
      </c>
    </row>
    <row r="247" spans="2:17">
      <c r="B247" s="33"/>
      <c r="C247" s="34"/>
      <c r="D247" s="34"/>
      <c r="E247" s="34"/>
      <c r="F247" s="34"/>
      <c r="G247" s="34"/>
      <c r="H247" s="34">
        <f>IFERROR(IF(B247="Column",INDEX(RadCompList!$C$4:$G$13,MATCH(C247,RadCompList!$B$4:$B$13),MATCH(Radiators!D247,RadCompList!$C$3:$G$3)),IF(B247="Tube",INDEX(RadCompList!$C$16:$I$22,MATCH(C247,RadCompList!$B$16:$B$22),MATCH(Radiators!D247,RadCompList!$C$15:$I$15)),IF(B247="Cast Rad/Conv",INDEX(RadCompList!$C$28:$D$28,MATCH(C247,RadCompList!$B$28),MATCH(Radiators!D247,RadCompList!$C$27:$D$27)),IF(B247="Copper Cabinet",(INDEX(RadCompList!$E$39:$J$78,MATCH(Radiators!D247,RadCompList!$D$39:$D$78,0),MATCH(C247,RadCompList!$E$38:$J$38,0))),0))))*E247,0)*$A$2</f>
        <v>0</v>
      </c>
      <c r="I247" s="34">
        <f t="shared" si="13"/>
        <v>0</v>
      </c>
      <c r="J247" s="35">
        <f>IFERROR(VLOOKUP(G247,VentList!$A$1:$D$198,2,FALSE),0)</f>
        <v>0</v>
      </c>
      <c r="K247" s="26">
        <f>IFERROR(VLOOKUP(B247,RadCompList!$P$3:$Q$6,2,FALSE)*H247,0)</f>
        <v>0</v>
      </c>
      <c r="L247" s="26" t="str">
        <f t="shared" si="16"/>
        <v>3/4</v>
      </c>
      <c r="M247" s="37">
        <f>Main!$G$8-0.0001306*N247^2 * F247*(1+3.6/VLOOKUP(L247,Calculations!$B$4:$F$15,2,FALSE))/(3600*Main!$C$7*VLOOKUP(L247,Calculations!$B$4:$F$15,2,FALSE)^5)</f>
        <v>0.14820436411902377</v>
      </c>
      <c r="N247" s="37">
        <f t="shared" si="14"/>
        <v>0</v>
      </c>
      <c r="O247" s="37">
        <f>IF(H247&lt;32,SteamProperties!$F$24*Radiators!F247,IF(H247&lt;56,SteamProperties!$F$25*Radiators!F247,SteamProperties!$F$26*Radiators!F247))</f>
        <v>0</v>
      </c>
      <c r="P247" s="37">
        <f>IF(H247&lt;32,Calculations!$F$5*Radiators!F247,IF(H247&lt;56,Calculations!$F$6*Radiators!F247,Calculations!$F$7*Radiators!F247))</f>
        <v>0</v>
      </c>
      <c r="Q247" s="37">
        <f t="shared" si="15"/>
        <v>0</v>
      </c>
    </row>
    <row r="248" spans="2:17">
      <c r="B248" s="33"/>
      <c r="C248" s="34"/>
      <c r="D248" s="34"/>
      <c r="E248" s="34"/>
      <c r="F248" s="34"/>
      <c r="G248" s="34"/>
      <c r="H248" s="34">
        <f>IFERROR(IF(B248="Column",INDEX(RadCompList!$C$4:$G$13,MATCH(C248,RadCompList!$B$4:$B$13),MATCH(Radiators!D248,RadCompList!$C$3:$G$3)),IF(B248="Tube",INDEX(RadCompList!$C$16:$I$22,MATCH(C248,RadCompList!$B$16:$B$22),MATCH(Radiators!D248,RadCompList!$C$15:$I$15)),IF(B248="Cast Rad/Conv",INDEX(RadCompList!$C$28:$D$28,MATCH(C248,RadCompList!$B$28),MATCH(Radiators!D248,RadCompList!$C$27:$D$27)),IF(B248="Copper Cabinet",(INDEX(RadCompList!$E$39:$J$78,MATCH(Radiators!D248,RadCompList!$D$39:$D$78,0),MATCH(C248,RadCompList!$E$38:$J$38,0))),0))))*E248,0)*$A$2</f>
        <v>0</v>
      </c>
      <c r="I248" s="34">
        <f t="shared" si="13"/>
        <v>0</v>
      </c>
      <c r="J248" s="35">
        <f>IFERROR(VLOOKUP(G248,VentList!$A$1:$D$198,2,FALSE),0)</f>
        <v>0</v>
      </c>
      <c r="K248" s="26">
        <f>IFERROR(VLOOKUP(B248,RadCompList!$P$3:$Q$6,2,FALSE)*H248,0)</f>
        <v>0</v>
      </c>
      <c r="L248" s="26" t="str">
        <f t="shared" si="16"/>
        <v>3/4</v>
      </c>
      <c r="M248" s="37">
        <f>Main!$G$8-0.0001306*N248^2 * F248*(1+3.6/VLOOKUP(L248,Calculations!$B$4:$F$15,2,FALSE))/(3600*Main!$C$7*VLOOKUP(L248,Calculations!$B$4:$F$15,2,FALSE)^5)</f>
        <v>0.14820436411902377</v>
      </c>
      <c r="N248" s="37">
        <f t="shared" si="14"/>
        <v>0</v>
      </c>
      <c r="O248" s="37">
        <f>IF(H248&lt;32,SteamProperties!$F$24*Radiators!F248,IF(H248&lt;56,SteamProperties!$F$25*Radiators!F248,SteamProperties!$F$26*Radiators!F248))</f>
        <v>0</v>
      </c>
      <c r="P248" s="37">
        <f>IF(H248&lt;32,Calculations!$F$5*Radiators!F248,IF(H248&lt;56,Calculations!$F$6*Radiators!F248,Calculations!$F$7*Radiators!F248))</f>
        <v>0</v>
      </c>
      <c r="Q248" s="37">
        <f t="shared" si="15"/>
        <v>0</v>
      </c>
    </row>
    <row r="249" spans="2:17">
      <c r="B249" s="33"/>
      <c r="C249" s="34"/>
      <c r="D249" s="34"/>
      <c r="E249" s="34"/>
      <c r="F249" s="34"/>
      <c r="G249" s="34"/>
      <c r="H249" s="34">
        <f>IFERROR(IF(B249="Column",INDEX(RadCompList!$C$4:$G$13,MATCH(C249,RadCompList!$B$4:$B$13),MATCH(Radiators!D249,RadCompList!$C$3:$G$3)),IF(B249="Tube",INDEX(RadCompList!$C$16:$I$22,MATCH(C249,RadCompList!$B$16:$B$22),MATCH(Radiators!D249,RadCompList!$C$15:$I$15)),IF(B249="Cast Rad/Conv",INDEX(RadCompList!$C$28:$D$28,MATCH(C249,RadCompList!$B$28),MATCH(Radiators!D249,RadCompList!$C$27:$D$27)),IF(B249="Copper Cabinet",(INDEX(RadCompList!$E$39:$J$78,MATCH(Radiators!D249,RadCompList!$D$39:$D$78,0),MATCH(C249,RadCompList!$E$38:$J$38,0))),0))))*E249,0)*$A$2</f>
        <v>0</v>
      </c>
      <c r="I249" s="34">
        <f t="shared" si="13"/>
        <v>0</v>
      </c>
      <c r="J249" s="35">
        <f>IFERROR(VLOOKUP(G249,VentList!$A$1:$D$198,2,FALSE),0)</f>
        <v>0</v>
      </c>
      <c r="K249" s="26">
        <f>IFERROR(VLOOKUP(B249,RadCompList!$P$3:$Q$6,2,FALSE)*H249,0)</f>
        <v>0</v>
      </c>
      <c r="L249" s="26" t="str">
        <f t="shared" si="16"/>
        <v>3/4</v>
      </c>
      <c r="M249" s="37">
        <f>Main!$G$8-0.0001306*N249^2 * F249*(1+3.6/VLOOKUP(L249,Calculations!$B$4:$F$15,2,FALSE))/(3600*Main!$C$7*VLOOKUP(L249,Calculations!$B$4:$F$15,2,FALSE)^5)</f>
        <v>0.14820436411902377</v>
      </c>
      <c r="N249" s="37">
        <f t="shared" si="14"/>
        <v>0</v>
      </c>
      <c r="O249" s="37">
        <f>IF(H249&lt;32,SteamProperties!$F$24*Radiators!F249,IF(H249&lt;56,SteamProperties!$F$25*Radiators!F249,SteamProperties!$F$26*Radiators!F249))</f>
        <v>0</v>
      </c>
      <c r="P249" s="37">
        <f>IF(H249&lt;32,Calculations!$F$5*Radiators!F249,IF(H249&lt;56,Calculations!$F$6*Radiators!F249,Calculations!$F$7*Radiators!F249))</f>
        <v>0</v>
      </c>
      <c r="Q249" s="37">
        <f t="shared" si="15"/>
        <v>0</v>
      </c>
    </row>
    <row r="250" spans="2:17">
      <c r="B250" s="33"/>
      <c r="C250" s="34"/>
      <c r="D250" s="34"/>
      <c r="E250" s="34"/>
      <c r="F250" s="34"/>
      <c r="G250" s="34"/>
      <c r="H250" s="34">
        <f>IFERROR(IF(B250="Column",INDEX(RadCompList!$C$4:$G$13,MATCH(C250,RadCompList!$B$4:$B$13),MATCH(Radiators!D250,RadCompList!$C$3:$G$3)),IF(B250="Tube",INDEX(RadCompList!$C$16:$I$22,MATCH(C250,RadCompList!$B$16:$B$22),MATCH(Radiators!D250,RadCompList!$C$15:$I$15)),IF(B250="Cast Rad/Conv",INDEX(RadCompList!$C$28:$D$28,MATCH(C250,RadCompList!$B$28),MATCH(Radiators!D250,RadCompList!$C$27:$D$27)),IF(B250="Copper Cabinet",(INDEX(RadCompList!$E$39:$J$78,MATCH(Radiators!D250,RadCompList!$D$39:$D$78,0),MATCH(C250,RadCompList!$E$38:$J$38,0))),0))))*E250,0)*$A$2</f>
        <v>0</v>
      </c>
      <c r="I250" s="34">
        <f t="shared" si="13"/>
        <v>0</v>
      </c>
      <c r="J250" s="35">
        <f>IFERROR(VLOOKUP(G250,VentList!$A$1:$D$198,2,FALSE),0)</f>
        <v>0</v>
      </c>
      <c r="K250" s="26">
        <f>IFERROR(VLOOKUP(B250,RadCompList!$P$3:$Q$6,2,FALSE)*H250,0)</f>
        <v>0</v>
      </c>
      <c r="L250" s="26" t="str">
        <f t="shared" si="16"/>
        <v>3/4</v>
      </c>
      <c r="M250" s="37">
        <f>Main!$G$8-0.0001306*N250^2 * F250*(1+3.6/VLOOKUP(L250,Calculations!$B$4:$F$15,2,FALSE))/(3600*Main!$C$7*VLOOKUP(L250,Calculations!$B$4:$F$15,2,FALSE)^5)</f>
        <v>0.14820436411902377</v>
      </c>
      <c r="N250" s="37">
        <f t="shared" si="14"/>
        <v>0</v>
      </c>
      <c r="O250" s="37">
        <f>IF(H250&lt;32,SteamProperties!$F$24*Radiators!F250,IF(H250&lt;56,SteamProperties!$F$25*Radiators!F250,SteamProperties!$F$26*Radiators!F250))</f>
        <v>0</v>
      </c>
      <c r="P250" s="37">
        <f>IF(H250&lt;32,Calculations!$F$5*Radiators!F250,IF(H250&lt;56,Calculations!$F$6*Radiators!F250,Calculations!$F$7*Radiators!F250))</f>
        <v>0</v>
      </c>
      <c r="Q250" s="37">
        <f t="shared" si="15"/>
        <v>0</v>
      </c>
    </row>
    <row r="251" spans="2:17">
      <c r="B251" s="33"/>
      <c r="C251" s="34"/>
      <c r="D251" s="34"/>
      <c r="E251" s="34"/>
      <c r="F251" s="34"/>
      <c r="G251" s="34"/>
      <c r="H251" s="34">
        <f>IFERROR(IF(B251="Column",INDEX(RadCompList!$C$4:$G$13,MATCH(C251,RadCompList!$B$4:$B$13),MATCH(Radiators!D251,RadCompList!$C$3:$G$3)),IF(B251="Tube",INDEX(RadCompList!$C$16:$I$22,MATCH(C251,RadCompList!$B$16:$B$22),MATCH(Radiators!D251,RadCompList!$C$15:$I$15)),IF(B251="Cast Rad/Conv",INDEX(RadCompList!$C$28:$D$28,MATCH(C251,RadCompList!$B$28),MATCH(Radiators!D251,RadCompList!$C$27:$D$27)),IF(B251="Copper Cabinet",(INDEX(RadCompList!$E$39:$J$78,MATCH(Radiators!D251,RadCompList!$D$39:$D$78,0),MATCH(C251,RadCompList!$E$38:$J$38,0))),0))))*E251,0)*$A$2</f>
        <v>0</v>
      </c>
      <c r="I251" s="34">
        <f t="shared" si="13"/>
        <v>0</v>
      </c>
      <c r="J251" s="35">
        <f>IFERROR(VLOOKUP(G251,VentList!$A$1:$D$198,2,FALSE),0)</f>
        <v>0</v>
      </c>
      <c r="K251" s="26">
        <f>IFERROR(VLOOKUP(B251,RadCompList!$P$3:$Q$6,2,FALSE)*H251,0)</f>
        <v>0</v>
      </c>
      <c r="L251" s="26" t="str">
        <f t="shared" si="16"/>
        <v>3/4</v>
      </c>
      <c r="M251" s="37">
        <f>Main!$G$8-0.0001306*N251^2 * F251*(1+3.6/VLOOKUP(L251,Calculations!$B$4:$F$15,2,FALSE))/(3600*Main!$C$7*VLOOKUP(L251,Calculations!$B$4:$F$15,2,FALSE)^5)</f>
        <v>0.14820436411902377</v>
      </c>
      <c r="N251" s="37">
        <f t="shared" si="14"/>
        <v>0</v>
      </c>
      <c r="O251" s="37">
        <f>IF(H251&lt;32,SteamProperties!$F$24*Radiators!F251,IF(H251&lt;56,SteamProperties!$F$25*Radiators!F251,SteamProperties!$F$26*Radiators!F251))</f>
        <v>0</v>
      </c>
      <c r="P251" s="37">
        <f>IF(H251&lt;32,Calculations!$F$5*Radiators!F251,IF(H251&lt;56,Calculations!$F$6*Radiators!F251,Calculations!$F$7*Radiators!F251))</f>
        <v>0</v>
      </c>
      <c r="Q251" s="37">
        <f t="shared" si="15"/>
        <v>0</v>
      </c>
    </row>
    <row r="252" spans="2:17">
      <c r="B252" s="33"/>
      <c r="C252" s="34"/>
      <c r="D252" s="34"/>
      <c r="E252" s="34"/>
      <c r="F252" s="34"/>
      <c r="G252" s="34"/>
      <c r="H252" s="34">
        <f>IFERROR(IF(B252="Column",INDEX(RadCompList!$C$4:$G$13,MATCH(C252,RadCompList!$B$4:$B$13),MATCH(Radiators!D252,RadCompList!$C$3:$G$3)),IF(B252="Tube",INDEX(RadCompList!$C$16:$I$22,MATCH(C252,RadCompList!$B$16:$B$22),MATCH(Radiators!D252,RadCompList!$C$15:$I$15)),IF(B252="Cast Rad/Conv",INDEX(RadCompList!$C$28:$D$28,MATCH(C252,RadCompList!$B$28),MATCH(Radiators!D252,RadCompList!$C$27:$D$27)),IF(B252="Copper Cabinet",(INDEX(RadCompList!$E$39:$J$78,MATCH(Radiators!D252,RadCompList!$D$39:$D$78,0),MATCH(C252,RadCompList!$E$38:$J$38,0))),0))))*E252,0)*$A$2</f>
        <v>0</v>
      </c>
      <c r="I252" s="34">
        <f t="shared" si="13"/>
        <v>0</v>
      </c>
      <c r="J252" s="35">
        <f>IFERROR(VLOOKUP(G252,VentList!$A$1:$D$198,2,FALSE),0)</f>
        <v>0</v>
      </c>
      <c r="K252" s="26">
        <f>IFERROR(VLOOKUP(B252,RadCompList!$P$3:$Q$6,2,FALSE)*H252,0)</f>
        <v>0</v>
      </c>
      <c r="L252" s="26" t="str">
        <f t="shared" si="16"/>
        <v>3/4</v>
      </c>
      <c r="M252" s="37">
        <f>Main!$G$8-0.0001306*N252^2 * F252*(1+3.6/VLOOKUP(L252,Calculations!$B$4:$F$15,2,FALSE))/(3600*Main!$C$7*VLOOKUP(L252,Calculations!$B$4:$F$15,2,FALSE)^5)</f>
        <v>0.14820436411902377</v>
      </c>
      <c r="N252" s="37">
        <f t="shared" si="14"/>
        <v>0</v>
      </c>
      <c r="O252" s="37">
        <f>IF(H252&lt;32,SteamProperties!$F$24*Radiators!F252,IF(H252&lt;56,SteamProperties!$F$25*Radiators!F252,SteamProperties!$F$26*Radiators!F252))</f>
        <v>0</v>
      </c>
      <c r="P252" s="37">
        <f>IF(H252&lt;32,Calculations!$F$5*Radiators!F252,IF(H252&lt;56,Calculations!$F$6*Radiators!F252,Calculations!$F$7*Radiators!F252))</f>
        <v>0</v>
      </c>
      <c r="Q252" s="37">
        <f t="shared" si="15"/>
        <v>0</v>
      </c>
    </row>
    <row r="253" spans="2:17">
      <c r="B253" s="33"/>
      <c r="C253" s="34"/>
      <c r="D253" s="34"/>
      <c r="E253" s="34"/>
      <c r="F253" s="34"/>
      <c r="G253" s="34"/>
      <c r="H253" s="34">
        <f>IFERROR(IF(B253="Column",INDEX(RadCompList!$C$4:$G$13,MATCH(C253,RadCompList!$B$4:$B$13),MATCH(Radiators!D253,RadCompList!$C$3:$G$3)),IF(B253="Tube",INDEX(RadCompList!$C$16:$I$22,MATCH(C253,RadCompList!$B$16:$B$22),MATCH(Radiators!D253,RadCompList!$C$15:$I$15)),IF(B253="Cast Rad/Conv",INDEX(RadCompList!$C$28:$D$28,MATCH(C253,RadCompList!$B$28),MATCH(Radiators!D253,RadCompList!$C$27:$D$27)),IF(B253="Copper Cabinet",(INDEX(RadCompList!$E$39:$J$78,MATCH(Radiators!D253,RadCompList!$D$39:$D$78,0),MATCH(C253,RadCompList!$E$38:$J$38,0))),0))))*E253,0)*$A$2</f>
        <v>0</v>
      </c>
      <c r="I253" s="34">
        <f t="shared" si="13"/>
        <v>0</v>
      </c>
      <c r="J253" s="35">
        <f>IFERROR(VLOOKUP(G253,VentList!$A$1:$D$198,2,FALSE),0)</f>
        <v>0</v>
      </c>
      <c r="K253" s="26">
        <f>IFERROR(VLOOKUP(B253,RadCompList!$P$3:$Q$6,2,FALSE)*H253,0)</f>
        <v>0</v>
      </c>
      <c r="L253" s="26" t="str">
        <f t="shared" si="16"/>
        <v>3/4</v>
      </c>
      <c r="M253" s="37">
        <f>Main!$G$8-0.0001306*N253^2 * F253*(1+3.6/VLOOKUP(L253,Calculations!$B$4:$F$15,2,FALSE))/(3600*Main!$C$7*VLOOKUP(L253,Calculations!$B$4:$F$15,2,FALSE)^5)</f>
        <v>0.14820436411902377</v>
      </c>
      <c r="N253" s="37">
        <f t="shared" si="14"/>
        <v>0</v>
      </c>
      <c r="O253" s="37">
        <f>IF(H253&lt;32,SteamProperties!$F$24*Radiators!F253,IF(H253&lt;56,SteamProperties!$F$25*Radiators!F253,SteamProperties!$F$26*Radiators!F253))</f>
        <v>0</v>
      </c>
      <c r="P253" s="37">
        <f>IF(H253&lt;32,Calculations!$F$5*Radiators!F253,IF(H253&lt;56,Calculations!$F$6*Radiators!F253,Calculations!$F$7*Radiators!F253))</f>
        <v>0</v>
      </c>
      <c r="Q253" s="37">
        <f t="shared" si="15"/>
        <v>0</v>
      </c>
    </row>
    <row r="254" spans="2:17">
      <c r="B254" s="33"/>
      <c r="C254" s="34"/>
      <c r="D254" s="34"/>
      <c r="E254" s="34"/>
      <c r="F254" s="34"/>
      <c r="G254" s="34"/>
      <c r="H254" s="34">
        <f>IFERROR(IF(B254="Column",INDEX(RadCompList!$C$4:$G$13,MATCH(C254,RadCompList!$B$4:$B$13),MATCH(Radiators!D254,RadCompList!$C$3:$G$3)),IF(B254="Tube",INDEX(RadCompList!$C$16:$I$22,MATCH(C254,RadCompList!$B$16:$B$22),MATCH(Radiators!D254,RadCompList!$C$15:$I$15)),IF(B254="Cast Rad/Conv",INDEX(RadCompList!$C$28:$D$28,MATCH(C254,RadCompList!$B$28),MATCH(Radiators!D254,RadCompList!$C$27:$D$27)),IF(B254="Copper Cabinet",(INDEX(RadCompList!$E$39:$J$78,MATCH(Radiators!D254,RadCompList!$D$39:$D$78,0),MATCH(C254,RadCompList!$E$38:$J$38,0))),0))))*E254,0)*$A$2</f>
        <v>0</v>
      </c>
      <c r="I254" s="34">
        <f t="shared" si="13"/>
        <v>0</v>
      </c>
      <c r="J254" s="35">
        <f>IFERROR(VLOOKUP(G254,VentList!$A$1:$D$198,2,FALSE),0)</f>
        <v>0</v>
      </c>
      <c r="K254" s="26">
        <f>IFERROR(VLOOKUP(B254,RadCompList!$P$3:$Q$6,2,FALSE)*H254,0)</f>
        <v>0</v>
      </c>
      <c r="L254" s="26" t="str">
        <f t="shared" si="16"/>
        <v>3/4</v>
      </c>
      <c r="M254" s="37">
        <f>Main!$G$8-0.0001306*N254^2 * F254*(1+3.6/VLOOKUP(L254,Calculations!$B$4:$F$15,2,FALSE))/(3600*Main!$C$7*VLOOKUP(L254,Calculations!$B$4:$F$15,2,FALSE)^5)</f>
        <v>0.14820436411902377</v>
      </c>
      <c r="N254" s="37">
        <f t="shared" si="14"/>
        <v>0</v>
      </c>
      <c r="O254" s="37">
        <f>IF(H254&lt;32,SteamProperties!$F$24*Radiators!F254,IF(H254&lt;56,SteamProperties!$F$25*Radiators!F254,SteamProperties!$F$26*Radiators!F254))</f>
        <v>0</v>
      </c>
      <c r="P254" s="37">
        <f>IF(H254&lt;32,Calculations!$F$5*Radiators!F254,IF(H254&lt;56,Calculations!$F$6*Radiators!F254,Calculations!$F$7*Radiators!F254))</f>
        <v>0</v>
      </c>
      <c r="Q254" s="37">
        <f t="shared" si="15"/>
        <v>0</v>
      </c>
    </row>
    <row r="255" spans="2:17">
      <c r="B255" s="33"/>
      <c r="C255" s="34"/>
      <c r="D255" s="34"/>
      <c r="E255" s="34"/>
      <c r="F255" s="34"/>
      <c r="G255" s="34"/>
      <c r="H255" s="34">
        <f>IFERROR(IF(B255="Column",INDEX(RadCompList!$C$4:$G$13,MATCH(C255,RadCompList!$B$4:$B$13),MATCH(Radiators!D255,RadCompList!$C$3:$G$3)),IF(B255="Tube",INDEX(RadCompList!$C$16:$I$22,MATCH(C255,RadCompList!$B$16:$B$22),MATCH(Radiators!D255,RadCompList!$C$15:$I$15)),IF(B255="Cast Rad/Conv",INDEX(RadCompList!$C$28:$D$28,MATCH(C255,RadCompList!$B$28),MATCH(Radiators!D255,RadCompList!$C$27:$D$27)),IF(B255="Copper Cabinet",(INDEX(RadCompList!$E$39:$J$78,MATCH(Radiators!D255,RadCompList!$D$39:$D$78,0),MATCH(C255,RadCompList!$E$38:$J$38,0))),0))))*E255,0)*$A$2</f>
        <v>0</v>
      </c>
      <c r="I255" s="34">
        <f t="shared" si="13"/>
        <v>0</v>
      </c>
      <c r="J255" s="35">
        <f>IFERROR(VLOOKUP(G255,VentList!$A$1:$D$198,2,FALSE),0)</f>
        <v>0</v>
      </c>
      <c r="K255" s="26">
        <f>IFERROR(VLOOKUP(B255,RadCompList!$P$3:$Q$6,2,FALSE)*H255,0)</f>
        <v>0</v>
      </c>
      <c r="L255" s="26" t="str">
        <f t="shared" si="16"/>
        <v>3/4</v>
      </c>
      <c r="M255" s="37">
        <f>Main!$G$8-0.0001306*N255^2 * F255*(1+3.6/VLOOKUP(L255,Calculations!$B$4:$F$15,2,FALSE))/(3600*Main!$C$7*VLOOKUP(L255,Calculations!$B$4:$F$15,2,FALSE)^5)</f>
        <v>0.14820436411902377</v>
      </c>
      <c r="N255" s="37">
        <f t="shared" si="14"/>
        <v>0</v>
      </c>
      <c r="O255" s="37">
        <f>IF(H255&lt;32,SteamProperties!$F$24*Radiators!F255,IF(H255&lt;56,SteamProperties!$F$25*Radiators!F255,SteamProperties!$F$26*Radiators!F255))</f>
        <v>0</v>
      </c>
      <c r="P255" s="37">
        <f>IF(H255&lt;32,Calculations!$F$5*Radiators!F255,IF(H255&lt;56,Calculations!$F$6*Radiators!F255,Calculations!$F$7*Radiators!F255))</f>
        <v>0</v>
      </c>
      <c r="Q255" s="37">
        <f t="shared" si="15"/>
        <v>0</v>
      </c>
    </row>
    <row r="256" spans="2:17">
      <c r="B256" s="33"/>
      <c r="C256" s="34"/>
      <c r="D256" s="34"/>
      <c r="E256" s="34"/>
      <c r="F256" s="34"/>
      <c r="G256" s="34"/>
      <c r="H256" s="34">
        <f>IFERROR(IF(B256="Column",INDEX(RadCompList!$C$4:$G$13,MATCH(C256,RadCompList!$B$4:$B$13),MATCH(Radiators!D256,RadCompList!$C$3:$G$3)),IF(B256="Tube",INDEX(RadCompList!$C$16:$I$22,MATCH(C256,RadCompList!$B$16:$B$22),MATCH(Radiators!D256,RadCompList!$C$15:$I$15)),IF(B256="Cast Rad/Conv",INDEX(RadCompList!$C$28:$D$28,MATCH(C256,RadCompList!$B$28),MATCH(Radiators!D256,RadCompList!$C$27:$D$27)),IF(B256="Copper Cabinet",(INDEX(RadCompList!$E$39:$J$78,MATCH(Radiators!D256,RadCompList!$D$39:$D$78,0),MATCH(C256,RadCompList!$E$38:$J$38,0))),0))))*E256,0)*$A$2</f>
        <v>0</v>
      </c>
      <c r="I256" s="34">
        <f t="shared" si="13"/>
        <v>0</v>
      </c>
      <c r="J256" s="35">
        <f>IFERROR(VLOOKUP(G256,VentList!$A$1:$D$198,2,FALSE),0)</f>
        <v>0</v>
      </c>
      <c r="K256" s="26">
        <f>IFERROR(VLOOKUP(B256,RadCompList!$P$3:$Q$6,2,FALSE)*H256,0)</f>
        <v>0</v>
      </c>
      <c r="L256" s="26" t="str">
        <f t="shared" si="16"/>
        <v>3/4</v>
      </c>
      <c r="M256" s="37">
        <f>Main!$G$8-0.0001306*N256^2 * F256*(1+3.6/VLOOKUP(L256,Calculations!$B$4:$F$15,2,FALSE))/(3600*Main!$C$7*VLOOKUP(L256,Calculations!$B$4:$F$15,2,FALSE)^5)</f>
        <v>0.14820436411902377</v>
      </c>
      <c r="N256" s="37">
        <f t="shared" si="14"/>
        <v>0</v>
      </c>
      <c r="O256" s="37">
        <f>IF(H256&lt;32,SteamProperties!$F$24*Radiators!F256,IF(H256&lt;56,SteamProperties!$F$25*Radiators!F256,SteamProperties!$F$26*Radiators!F256))</f>
        <v>0</v>
      </c>
      <c r="P256" s="37">
        <f>IF(H256&lt;32,Calculations!$F$5*Radiators!F256,IF(H256&lt;56,Calculations!$F$6*Radiators!F256,Calculations!$F$7*Radiators!F256))</f>
        <v>0</v>
      </c>
      <c r="Q256" s="37">
        <f t="shared" si="15"/>
        <v>0</v>
      </c>
    </row>
    <row r="257" spans="2:17">
      <c r="B257" s="33"/>
      <c r="C257" s="34"/>
      <c r="D257" s="34"/>
      <c r="E257" s="34"/>
      <c r="F257" s="34"/>
      <c r="G257" s="34"/>
      <c r="H257" s="34">
        <f>IFERROR(IF(B257="Column",INDEX(RadCompList!$C$4:$G$13,MATCH(C257,RadCompList!$B$4:$B$13),MATCH(Radiators!D257,RadCompList!$C$3:$G$3)),IF(B257="Tube",INDEX(RadCompList!$C$16:$I$22,MATCH(C257,RadCompList!$B$16:$B$22),MATCH(Radiators!D257,RadCompList!$C$15:$I$15)),IF(B257="Cast Rad/Conv",INDEX(RadCompList!$C$28:$D$28,MATCH(C257,RadCompList!$B$28),MATCH(Radiators!D257,RadCompList!$C$27:$D$27)),IF(B257="Copper Cabinet",(INDEX(RadCompList!$E$39:$J$78,MATCH(Radiators!D257,RadCompList!$D$39:$D$78,0),MATCH(C257,RadCompList!$E$38:$J$38,0))),0))))*E257,0)*$A$2</f>
        <v>0</v>
      </c>
      <c r="I257" s="34">
        <f t="shared" si="13"/>
        <v>0</v>
      </c>
      <c r="J257" s="35">
        <f>IFERROR(VLOOKUP(G257,VentList!$A$1:$D$198,2,FALSE),0)</f>
        <v>0</v>
      </c>
      <c r="K257" s="26">
        <f>IFERROR(VLOOKUP(B257,RadCompList!$P$3:$Q$6,2,FALSE)*H257,0)</f>
        <v>0</v>
      </c>
      <c r="L257" s="26" t="str">
        <f t="shared" si="16"/>
        <v>3/4</v>
      </c>
      <c r="M257" s="37">
        <f>Main!$G$8-0.0001306*N257^2 * F257*(1+3.6/VLOOKUP(L257,Calculations!$B$4:$F$15,2,FALSE))/(3600*Main!$C$7*VLOOKUP(L257,Calculations!$B$4:$F$15,2,FALSE)^5)</f>
        <v>0.14820436411902377</v>
      </c>
      <c r="N257" s="37">
        <f t="shared" si="14"/>
        <v>0</v>
      </c>
      <c r="O257" s="37">
        <f>IF(H257&lt;32,SteamProperties!$F$24*Radiators!F257,IF(H257&lt;56,SteamProperties!$F$25*Radiators!F257,SteamProperties!$F$26*Radiators!F257))</f>
        <v>0</v>
      </c>
      <c r="P257" s="37">
        <f>IF(H257&lt;32,Calculations!$F$5*Radiators!F257,IF(H257&lt;56,Calculations!$F$6*Radiators!F257,Calculations!$F$7*Radiators!F257))</f>
        <v>0</v>
      </c>
      <c r="Q257" s="37">
        <f t="shared" si="15"/>
        <v>0</v>
      </c>
    </row>
    <row r="258" spans="2:17">
      <c r="B258" s="33"/>
      <c r="C258" s="34"/>
      <c r="D258" s="34"/>
      <c r="E258" s="34"/>
      <c r="F258" s="34"/>
      <c r="G258" s="34"/>
      <c r="H258" s="34">
        <f>IFERROR(IF(B258="Column",INDEX(RadCompList!$C$4:$G$13,MATCH(C258,RadCompList!$B$4:$B$13),MATCH(Radiators!D258,RadCompList!$C$3:$G$3)),IF(B258="Tube",INDEX(RadCompList!$C$16:$I$22,MATCH(C258,RadCompList!$B$16:$B$22),MATCH(Radiators!D258,RadCompList!$C$15:$I$15)),IF(B258="Cast Rad/Conv",INDEX(RadCompList!$C$28:$D$28,MATCH(C258,RadCompList!$B$28),MATCH(Radiators!D258,RadCompList!$C$27:$D$27)),IF(B258="Copper Cabinet",(INDEX(RadCompList!$E$39:$J$78,MATCH(Radiators!D258,RadCompList!$D$39:$D$78,0),MATCH(C258,RadCompList!$E$38:$J$38,0))),0))))*E258,0)*$A$2</f>
        <v>0</v>
      </c>
      <c r="I258" s="34">
        <f t="shared" si="13"/>
        <v>0</v>
      </c>
      <c r="J258" s="35">
        <f>IFERROR(VLOOKUP(G258,VentList!$A$1:$D$198,2,FALSE),0)</f>
        <v>0</v>
      </c>
      <c r="K258" s="26">
        <f>IFERROR(VLOOKUP(B258,RadCompList!$P$3:$Q$6,2,FALSE)*H258,0)</f>
        <v>0</v>
      </c>
      <c r="L258" s="26" t="str">
        <f t="shared" si="16"/>
        <v>3/4</v>
      </c>
      <c r="M258" s="37">
        <f>Main!$G$8-0.0001306*N258^2 * F258*(1+3.6/VLOOKUP(L258,Calculations!$B$4:$F$15,2,FALSE))/(3600*Main!$C$7*VLOOKUP(L258,Calculations!$B$4:$F$15,2,FALSE)^5)</f>
        <v>0.14820436411902377</v>
      </c>
      <c r="N258" s="37">
        <f t="shared" si="14"/>
        <v>0</v>
      </c>
      <c r="O258" s="37">
        <f>IF(H258&lt;32,SteamProperties!$F$24*Radiators!F258,IF(H258&lt;56,SteamProperties!$F$25*Radiators!F258,SteamProperties!$F$26*Radiators!F258))</f>
        <v>0</v>
      </c>
      <c r="P258" s="37">
        <f>IF(H258&lt;32,Calculations!$F$5*Radiators!F258,IF(H258&lt;56,Calculations!$F$6*Radiators!F258,Calculations!$F$7*Radiators!F258))</f>
        <v>0</v>
      </c>
      <c r="Q258" s="37">
        <f t="shared" si="15"/>
        <v>0</v>
      </c>
    </row>
    <row r="259" spans="2:17">
      <c r="B259" s="33"/>
      <c r="C259" s="34"/>
      <c r="D259" s="34"/>
      <c r="E259" s="34"/>
      <c r="F259" s="34"/>
      <c r="G259" s="34"/>
      <c r="H259" s="34">
        <f>IFERROR(IF(B259="Column",INDEX(RadCompList!$C$4:$G$13,MATCH(C259,RadCompList!$B$4:$B$13),MATCH(Radiators!D259,RadCompList!$C$3:$G$3)),IF(B259="Tube",INDEX(RadCompList!$C$16:$I$22,MATCH(C259,RadCompList!$B$16:$B$22),MATCH(Radiators!D259,RadCompList!$C$15:$I$15)),IF(B259="Cast Rad/Conv",INDEX(RadCompList!$C$28:$D$28,MATCH(C259,RadCompList!$B$28),MATCH(Radiators!D259,RadCompList!$C$27:$D$27)),IF(B259="Copper Cabinet",(INDEX(RadCompList!$E$39:$J$78,MATCH(Radiators!D259,RadCompList!$D$39:$D$78,0),MATCH(C259,RadCompList!$E$38:$J$38,0))),0))))*E259,0)*$A$2</f>
        <v>0</v>
      </c>
      <c r="I259" s="34">
        <f t="shared" ref="I259:I322" si="17">IFERROR(240*H259,0)*$A$2</f>
        <v>0</v>
      </c>
      <c r="J259" s="35">
        <f>IFERROR(VLOOKUP(G259,VentList!$A$1:$D$198,2,FALSE),0)</f>
        <v>0</v>
      </c>
      <c r="K259" s="26">
        <f>IFERROR(VLOOKUP(B259,RadCompList!$P$3:$Q$6,2,FALSE)*H259,0)</f>
        <v>0</v>
      </c>
      <c r="L259" s="26" t="str">
        <f t="shared" si="16"/>
        <v>3/4</v>
      </c>
      <c r="M259" s="37">
        <f>Main!$G$8-0.0001306*N259^2 * F259*(1+3.6/VLOOKUP(L259,Calculations!$B$4:$F$15,2,FALSE))/(3600*Main!$C$7*VLOOKUP(L259,Calculations!$B$4:$F$15,2,FALSE)^5)</f>
        <v>0.14820436411902377</v>
      </c>
      <c r="N259" s="37">
        <f t="shared" ref="N259:N322" si="18">I259/(970+27)</f>
        <v>0</v>
      </c>
      <c r="O259" s="37">
        <f>IF(H259&lt;32,SteamProperties!$F$24*Radiators!F259,IF(H259&lt;56,SteamProperties!$F$25*Radiators!F259,SteamProperties!$F$26*Radiators!F259))</f>
        <v>0</v>
      </c>
      <c r="P259" s="37">
        <f>IF(H259&lt;32,Calculations!$F$5*Radiators!F259,IF(H259&lt;56,Calculations!$F$6*Radiators!F259,Calculations!$F$7*Radiators!F259))</f>
        <v>0</v>
      </c>
      <c r="Q259" s="37">
        <f t="shared" ref="Q259:Q322" si="19">I259/(970)</f>
        <v>0</v>
      </c>
    </row>
    <row r="260" spans="2:17">
      <c r="B260" s="33"/>
      <c r="C260" s="34"/>
      <c r="D260" s="34"/>
      <c r="E260" s="34"/>
      <c r="F260" s="34"/>
      <c r="G260" s="34"/>
      <c r="H260" s="34">
        <f>IFERROR(IF(B260="Column",INDEX(RadCompList!$C$4:$G$13,MATCH(C260,RadCompList!$B$4:$B$13),MATCH(Radiators!D260,RadCompList!$C$3:$G$3)),IF(B260="Tube",INDEX(RadCompList!$C$16:$I$22,MATCH(C260,RadCompList!$B$16:$B$22),MATCH(Radiators!D260,RadCompList!$C$15:$I$15)),IF(B260="Cast Rad/Conv",INDEX(RadCompList!$C$28:$D$28,MATCH(C260,RadCompList!$B$28),MATCH(Radiators!D260,RadCompList!$C$27:$D$27)),IF(B260="Copper Cabinet",(INDEX(RadCompList!$E$39:$J$78,MATCH(Radiators!D260,RadCompList!$D$39:$D$78,0),MATCH(C260,RadCompList!$E$38:$J$38,0))),0))))*E260,0)*$A$2</f>
        <v>0</v>
      </c>
      <c r="I260" s="34">
        <f t="shared" si="17"/>
        <v>0</v>
      </c>
      <c r="J260" s="35">
        <f>IFERROR(VLOOKUP(G260,VentList!$A$1:$D$198,2,FALSE),0)</f>
        <v>0</v>
      </c>
      <c r="K260" s="26">
        <f>IFERROR(VLOOKUP(B260,RadCompList!$P$3:$Q$6,2,FALSE)*H260,0)</f>
        <v>0</v>
      </c>
      <c r="L260" s="26" t="str">
        <f t="shared" si="16"/>
        <v>3/4</v>
      </c>
      <c r="M260" s="37">
        <f>Main!$G$8-0.0001306*N260^2 * F260*(1+3.6/VLOOKUP(L260,Calculations!$B$4:$F$15,2,FALSE))/(3600*Main!$C$7*VLOOKUP(L260,Calculations!$B$4:$F$15,2,FALSE)^5)</f>
        <v>0.14820436411902377</v>
      </c>
      <c r="N260" s="37">
        <f t="shared" si="18"/>
        <v>0</v>
      </c>
      <c r="O260" s="37">
        <f>IF(H260&lt;32,SteamProperties!$F$24*Radiators!F260,IF(H260&lt;56,SteamProperties!$F$25*Radiators!F260,SteamProperties!$F$26*Radiators!F260))</f>
        <v>0</v>
      </c>
      <c r="P260" s="37">
        <f>IF(H260&lt;32,Calculations!$F$5*Radiators!F260,IF(H260&lt;56,Calculations!$F$6*Radiators!F260,Calculations!$F$7*Radiators!F260))</f>
        <v>0</v>
      </c>
      <c r="Q260" s="37">
        <f t="shared" si="19"/>
        <v>0</v>
      </c>
    </row>
    <row r="261" spans="2:17">
      <c r="B261" s="33"/>
      <c r="C261" s="34"/>
      <c r="D261" s="34"/>
      <c r="E261" s="34"/>
      <c r="F261" s="34"/>
      <c r="G261" s="34"/>
      <c r="H261" s="34">
        <f>IFERROR(IF(B261="Column",INDEX(RadCompList!$C$4:$G$13,MATCH(C261,RadCompList!$B$4:$B$13),MATCH(Radiators!D261,RadCompList!$C$3:$G$3)),IF(B261="Tube",INDEX(RadCompList!$C$16:$I$22,MATCH(C261,RadCompList!$B$16:$B$22),MATCH(Radiators!D261,RadCompList!$C$15:$I$15)),IF(B261="Cast Rad/Conv",INDEX(RadCompList!$C$28:$D$28,MATCH(C261,RadCompList!$B$28),MATCH(Radiators!D261,RadCompList!$C$27:$D$27)),IF(B261="Copper Cabinet",(INDEX(RadCompList!$E$39:$J$78,MATCH(Radiators!D261,RadCompList!$D$39:$D$78,0),MATCH(C261,RadCompList!$E$38:$J$38,0))),0))))*E261,0)*$A$2</f>
        <v>0</v>
      </c>
      <c r="I261" s="34">
        <f t="shared" si="17"/>
        <v>0</v>
      </c>
      <c r="J261" s="35">
        <f>IFERROR(VLOOKUP(G261,VentList!$A$1:$D$198,2,FALSE),0)</f>
        <v>0</v>
      </c>
      <c r="K261" s="26">
        <f>IFERROR(VLOOKUP(B261,RadCompList!$P$3:$Q$6,2,FALSE)*H261,0)</f>
        <v>0</v>
      </c>
      <c r="L261" s="26" t="str">
        <f t="shared" si="16"/>
        <v>3/4</v>
      </c>
      <c r="M261" s="37">
        <f>Main!$G$8-0.0001306*N261^2 * F261*(1+3.6/VLOOKUP(L261,Calculations!$B$4:$F$15,2,FALSE))/(3600*Main!$C$7*VLOOKUP(L261,Calculations!$B$4:$F$15,2,FALSE)^5)</f>
        <v>0.14820436411902377</v>
      </c>
      <c r="N261" s="37">
        <f t="shared" si="18"/>
        <v>0</v>
      </c>
      <c r="O261" s="37">
        <f>IF(H261&lt;32,SteamProperties!$F$24*Radiators!F261,IF(H261&lt;56,SteamProperties!$F$25*Radiators!F261,SteamProperties!$F$26*Radiators!F261))</f>
        <v>0</v>
      </c>
      <c r="P261" s="37">
        <f>IF(H261&lt;32,Calculations!$F$5*Radiators!F261,IF(H261&lt;56,Calculations!$F$6*Radiators!F261,Calculations!$F$7*Radiators!F261))</f>
        <v>0</v>
      </c>
      <c r="Q261" s="37">
        <f t="shared" si="19"/>
        <v>0</v>
      </c>
    </row>
    <row r="262" spans="2:17">
      <c r="B262" s="33"/>
      <c r="C262" s="34"/>
      <c r="D262" s="34"/>
      <c r="E262" s="34"/>
      <c r="F262" s="34"/>
      <c r="G262" s="34"/>
      <c r="H262" s="34">
        <f>IFERROR(IF(B262="Column",INDEX(RadCompList!$C$4:$G$13,MATCH(C262,RadCompList!$B$4:$B$13),MATCH(Radiators!D262,RadCompList!$C$3:$G$3)),IF(B262="Tube",INDEX(RadCompList!$C$16:$I$22,MATCH(C262,RadCompList!$B$16:$B$22),MATCH(Radiators!D262,RadCompList!$C$15:$I$15)),IF(B262="Cast Rad/Conv",INDEX(RadCompList!$C$28:$D$28,MATCH(C262,RadCompList!$B$28),MATCH(Radiators!D262,RadCompList!$C$27:$D$27)),IF(B262="Copper Cabinet",(INDEX(RadCompList!$E$39:$J$78,MATCH(Radiators!D262,RadCompList!$D$39:$D$78,0),MATCH(C262,RadCompList!$E$38:$J$38,0))),0))))*E262,0)*$A$2</f>
        <v>0</v>
      </c>
      <c r="I262" s="34">
        <f t="shared" si="17"/>
        <v>0</v>
      </c>
      <c r="J262" s="35">
        <f>IFERROR(VLOOKUP(G262,VentList!$A$1:$D$198,2,FALSE),0)</f>
        <v>0</v>
      </c>
      <c r="K262" s="26">
        <f>IFERROR(VLOOKUP(B262,RadCompList!$P$3:$Q$6,2,FALSE)*H262,0)</f>
        <v>0</v>
      </c>
      <c r="L262" s="26" t="str">
        <f t="shared" ref="L262:L325" si="20">IF(H262&lt;32, "3/4",IF(H262&lt;56, "1", IF(H262&lt;124," 1 1/2",IF(H262&gt;124,"2"))))</f>
        <v>3/4</v>
      </c>
      <c r="M262" s="37">
        <f>Main!$G$8-0.0001306*N262^2 * F262*(1+3.6/VLOOKUP(L262,Calculations!$B$4:$F$15,2,FALSE))/(3600*Main!$C$7*VLOOKUP(L262,Calculations!$B$4:$F$15,2,FALSE)^5)</f>
        <v>0.14820436411902377</v>
      </c>
      <c r="N262" s="37">
        <f t="shared" si="18"/>
        <v>0</v>
      </c>
      <c r="O262" s="37">
        <f>IF(H262&lt;32,SteamProperties!$F$24*Radiators!F262,IF(H262&lt;56,SteamProperties!$F$25*Radiators!F262,SteamProperties!$F$26*Radiators!F262))</f>
        <v>0</v>
      </c>
      <c r="P262" s="37">
        <f>IF(H262&lt;32,Calculations!$F$5*Radiators!F262,IF(H262&lt;56,Calculations!$F$6*Radiators!F262,Calculations!$F$7*Radiators!F262))</f>
        <v>0</v>
      </c>
      <c r="Q262" s="37">
        <f t="shared" si="19"/>
        <v>0</v>
      </c>
    </row>
    <row r="263" spans="2:17">
      <c r="B263" s="33"/>
      <c r="C263" s="34"/>
      <c r="D263" s="34"/>
      <c r="E263" s="34"/>
      <c r="F263" s="34"/>
      <c r="G263" s="34"/>
      <c r="H263" s="34">
        <f>IFERROR(IF(B263="Column",INDEX(RadCompList!$C$4:$G$13,MATCH(C263,RadCompList!$B$4:$B$13),MATCH(Radiators!D263,RadCompList!$C$3:$G$3)),IF(B263="Tube",INDEX(RadCompList!$C$16:$I$22,MATCH(C263,RadCompList!$B$16:$B$22),MATCH(Radiators!D263,RadCompList!$C$15:$I$15)),IF(B263="Cast Rad/Conv",INDEX(RadCompList!$C$28:$D$28,MATCH(C263,RadCompList!$B$28),MATCH(Radiators!D263,RadCompList!$C$27:$D$27)),IF(B263="Copper Cabinet",(INDEX(RadCompList!$E$39:$J$78,MATCH(Radiators!D263,RadCompList!$D$39:$D$78,0),MATCH(C263,RadCompList!$E$38:$J$38,0))),0))))*E263,0)*$A$2</f>
        <v>0</v>
      </c>
      <c r="I263" s="34">
        <f t="shared" si="17"/>
        <v>0</v>
      </c>
      <c r="J263" s="35">
        <f>IFERROR(VLOOKUP(G263,VentList!$A$1:$D$198,2,FALSE),0)</f>
        <v>0</v>
      </c>
      <c r="K263" s="26">
        <f>IFERROR(VLOOKUP(B263,RadCompList!$P$3:$Q$6,2,FALSE)*H263,0)</f>
        <v>0</v>
      </c>
      <c r="L263" s="26" t="str">
        <f t="shared" si="20"/>
        <v>3/4</v>
      </c>
      <c r="M263" s="37">
        <f>Main!$G$8-0.0001306*N263^2 * F263*(1+3.6/VLOOKUP(L263,Calculations!$B$4:$F$15,2,FALSE))/(3600*Main!$C$7*VLOOKUP(L263,Calculations!$B$4:$F$15,2,FALSE)^5)</f>
        <v>0.14820436411902377</v>
      </c>
      <c r="N263" s="37">
        <f t="shared" si="18"/>
        <v>0</v>
      </c>
      <c r="O263" s="37">
        <f>IF(H263&lt;32,SteamProperties!$F$24*Radiators!F263,IF(H263&lt;56,SteamProperties!$F$25*Radiators!F263,SteamProperties!$F$26*Radiators!F263))</f>
        <v>0</v>
      </c>
      <c r="P263" s="37">
        <f>IF(H263&lt;32,Calculations!$F$5*Radiators!F263,IF(H263&lt;56,Calculations!$F$6*Radiators!F263,Calculations!$F$7*Radiators!F263))</f>
        <v>0</v>
      </c>
      <c r="Q263" s="37">
        <f t="shared" si="19"/>
        <v>0</v>
      </c>
    </row>
    <row r="264" spans="2:17">
      <c r="B264" s="33"/>
      <c r="C264" s="34"/>
      <c r="D264" s="34"/>
      <c r="E264" s="34"/>
      <c r="F264" s="34"/>
      <c r="G264" s="34"/>
      <c r="H264" s="34">
        <f>IFERROR(IF(B264="Column",INDEX(RadCompList!$C$4:$G$13,MATCH(C264,RadCompList!$B$4:$B$13),MATCH(Radiators!D264,RadCompList!$C$3:$G$3)),IF(B264="Tube",INDEX(RadCompList!$C$16:$I$22,MATCH(C264,RadCompList!$B$16:$B$22),MATCH(Radiators!D264,RadCompList!$C$15:$I$15)),IF(B264="Cast Rad/Conv",INDEX(RadCompList!$C$28:$D$28,MATCH(C264,RadCompList!$B$28),MATCH(Radiators!D264,RadCompList!$C$27:$D$27)),IF(B264="Copper Cabinet",(INDEX(RadCompList!$E$39:$J$78,MATCH(Radiators!D264,RadCompList!$D$39:$D$78,0),MATCH(C264,RadCompList!$E$38:$J$38,0))),0))))*E264,0)*$A$2</f>
        <v>0</v>
      </c>
      <c r="I264" s="34">
        <f t="shared" si="17"/>
        <v>0</v>
      </c>
      <c r="J264" s="35">
        <f>IFERROR(VLOOKUP(G264,VentList!$A$1:$D$198,2,FALSE),0)</f>
        <v>0</v>
      </c>
      <c r="K264" s="26">
        <f>IFERROR(VLOOKUP(B264,RadCompList!$P$3:$Q$6,2,FALSE)*H264,0)</f>
        <v>0</v>
      </c>
      <c r="L264" s="26" t="str">
        <f t="shared" si="20"/>
        <v>3/4</v>
      </c>
      <c r="M264" s="37">
        <f>Main!$G$8-0.0001306*N264^2 * F264*(1+3.6/VLOOKUP(L264,Calculations!$B$4:$F$15,2,FALSE))/(3600*Main!$C$7*VLOOKUP(L264,Calculations!$B$4:$F$15,2,FALSE)^5)</f>
        <v>0.14820436411902377</v>
      </c>
      <c r="N264" s="37">
        <f t="shared" si="18"/>
        <v>0</v>
      </c>
      <c r="O264" s="37">
        <f>IF(H264&lt;32,SteamProperties!$F$24*Radiators!F264,IF(H264&lt;56,SteamProperties!$F$25*Radiators!F264,SteamProperties!$F$26*Radiators!F264))</f>
        <v>0</v>
      </c>
      <c r="P264" s="37">
        <f>IF(H264&lt;32,Calculations!$F$5*Radiators!F264,IF(H264&lt;56,Calculations!$F$6*Radiators!F264,Calculations!$F$7*Radiators!F264))</f>
        <v>0</v>
      </c>
      <c r="Q264" s="37">
        <f t="shared" si="19"/>
        <v>0</v>
      </c>
    </row>
    <row r="265" spans="2:17">
      <c r="B265" s="33"/>
      <c r="C265" s="34"/>
      <c r="D265" s="34"/>
      <c r="E265" s="34"/>
      <c r="F265" s="34"/>
      <c r="G265" s="34"/>
      <c r="H265" s="34">
        <f>IFERROR(IF(B265="Column",INDEX(RadCompList!$C$4:$G$13,MATCH(C265,RadCompList!$B$4:$B$13),MATCH(Radiators!D265,RadCompList!$C$3:$G$3)),IF(B265="Tube",INDEX(RadCompList!$C$16:$I$22,MATCH(C265,RadCompList!$B$16:$B$22),MATCH(Radiators!D265,RadCompList!$C$15:$I$15)),IF(B265="Cast Rad/Conv",INDEX(RadCompList!$C$28:$D$28,MATCH(C265,RadCompList!$B$28),MATCH(Radiators!D265,RadCompList!$C$27:$D$27)),IF(B265="Copper Cabinet",(INDEX(RadCompList!$E$39:$J$78,MATCH(Radiators!D265,RadCompList!$D$39:$D$78,0),MATCH(C265,RadCompList!$E$38:$J$38,0))),0))))*E265,0)*$A$2</f>
        <v>0</v>
      </c>
      <c r="I265" s="34">
        <f t="shared" si="17"/>
        <v>0</v>
      </c>
      <c r="J265" s="35">
        <f>IFERROR(VLOOKUP(G265,VentList!$A$1:$D$198,2,FALSE),0)</f>
        <v>0</v>
      </c>
      <c r="K265" s="26">
        <f>IFERROR(VLOOKUP(B265,RadCompList!$P$3:$Q$6,2,FALSE)*H265,0)</f>
        <v>0</v>
      </c>
      <c r="L265" s="26" t="str">
        <f t="shared" si="20"/>
        <v>3/4</v>
      </c>
      <c r="M265" s="37">
        <f>Main!$G$8-0.0001306*N265^2 * F265*(1+3.6/VLOOKUP(L265,Calculations!$B$4:$F$15,2,FALSE))/(3600*Main!$C$7*VLOOKUP(L265,Calculations!$B$4:$F$15,2,FALSE)^5)</f>
        <v>0.14820436411902377</v>
      </c>
      <c r="N265" s="37">
        <f t="shared" si="18"/>
        <v>0</v>
      </c>
      <c r="O265" s="37">
        <f>IF(H265&lt;32,SteamProperties!$F$24*Radiators!F265,IF(H265&lt;56,SteamProperties!$F$25*Radiators!F265,SteamProperties!$F$26*Radiators!F265))</f>
        <v>0</v>
      </c>
      <c r="P265" s="37">
        <f>IF(H265&lt;32,Calculations!$F$5*Radiators!F265,IF(H265&lt;56,Calculations!$F$6*Radiators!F265,Calculations!$F$7*Radiators!F265))</f>
        <v>0</v>
      </c>
      <c r="Q265" s="37">
        <f t="shared" si="19"/>
        <v>0</v>
      </c>
    </row>
    <row r="266" spans="2:17">
      <c r="B266" s="33"/>
      <c r="C266" s="34"/>
      <c r="D266" s="34"/>
      <c r="E266" s="34"/>
      <c r="F266" s="34"/>
      <c r="G266" s="34"/>
      <c r="H266" s="34">
        <f>IFERROR(IF(B266="Column",INDEX(RadCompList!$C$4:$G$13,MATCH(C266,RadCompList!$B$4:$B$13),MATCH(Radiators!D266,RadCompList!$C$3:$G$3)),IF(B266="Tube",INDEX(RadCompList!$C$16:$I$22,MATCH(C266,RadCompList!$B$16:$B$22),MATCH(Radiators!D266,RadCompList!$C$15:$I$15)),IF(B266="Cast Rad/Conv",INDEX(RadCompList!$C$28:$D$28,MATCH(C266,RadCompList!$B$28),MATCH(Radiators!D266,RadCompList!$C$27:$D$27)),IF(B266="Copper Cabinet",(INDEX(RadCompList!$E$39:$J$78,MATCH(Radiators!D266,RadCompList!$D$39:$D$78,0),MATCH(C266,RadCompList!$E$38:$J$38,0))),0))))*E266,0)*$A$2</f>
        <v>0</v>
      </c>
      <c r="I266" s="34">
        <f t="shared" si="17"/>
        <v>0</v>
      </c>
      <c r="J266" s="35">
        <f>IFERROR(VLOOKUP(G266,VentList!$A$1:$D$198,2,FALSE),0)</f>
        <v>0</v>
      </c>
      <c r="K266" s="26">
        <f>IFERROR(VLOOKUP(B266,RadCompList!$P$3:$Q$6,2,FALSE)*H266,0)</f>
        <v>0</v>
      </c>
      <c r="L266" s="26" t="str">
        <f t="shared" si="20"/>
        <v>3/4</v>
      </c>
      <c r="M266" s="37">
        <f>Main!$G$8-0.0001306*N266^2 * F266*(1+3.6/VLOOKUP(L266,Calculations!$B$4:$F$15,2,FALSE))/(3600*Main!$C$7*VLOOKUP(L266,Calculations!$B$4:$F$15,2,FALSE)^5)</f>
        <v>0.14820436411902377</v>
      </c>
      <c r="N266" s="37">
        <f t="shared" si="18"/>
        <v>0</v>
      </c>
      <c r="O266" s="37">
        <f>IF(H266&lt;32,SteamProperties!$F$24*Radiators!F266,IF(H266&lt;56,SteamProperties!$F$25*Radiators!F266,SteamProperties!$F$26*Radiators!F266))</f>
        <v>0</v>
      </c>
      <c r="P266" s="37">
        <f>IF(H266&lt;32,Calculations!$F$5*Radiators!F266,IF(H266&lt;56,Calculations!$F$6*Radiators!F266,Calculations!$F$7*Radiators!F266))</f>
        <v>0</v>
      </c>
      <c r="Q266" s="37">
        <f t="shared" si="19"/>
        <v>0</v>
      </c>
    </row>
    <row r="267" spans="2:17">
      <c r="B267" s="33"/>
      <c r="C267" s="34"/>
      <c r="D267" s="34"/>
      <c r="E267" s="34"/>
      <c r="F267" s="34"/>
      <c r="G267" s="34"/>
      <c r="H267" s="34">
        <f>IFERROR(IF(B267="Column",INDEX(RadCompList!$C$4:$G$13,MATCH(C267,RadCompList!$B$4:$B$13),MATCH(Radiators!D267,RadCompList!$C$3:$G$3)),IF(B267="Tube",INDEX(RadCompList!$C$16:$I$22,MATCH(C267,RadCompList!$B$16:$B$22),MATCH(Radiators!D267,RadCompList!$C$15:$I$15)),IF(B267="Cast Rad/Conv",INDEX(RadCompList!$C$28:$D$28,MATCH(C267,RadCompList!$B$28),MATCH(Radiators!D267,RadCompList!$C$27:$D$27)),IF(B267="Copper Cabinet",(INDEX(RadCompList!$E$39:$J$78,MATCH(Radiators!D267,RadCompList!$D$39:$D$78,0),MATCH(C267,RadCompList!$E$38:$J$38,0))),0))))*E267,0)*$A$2</f>
        <v>0</v>
      </c>
      <c r="I267" s="34">
        <f t="shared" si="17"/>
        <v>0</v>
      </c>
      <c r="J267" s="35">
        <f>IFERROR(VLOOKUP(G267,VentList!$A$1:$D$198,2,FALSE),0)</f>
        <v>0</v>
      </c>
      <c r="K267" s="26">
        <f>IFERROR(VLOOKUP(B267,RadCompList!$P$3:$Q$6,2,FALSE)*H267,0)</f>
        <v>0</v>
      </c>
      <c r="L267" s="26" t="str">
        <f t="shared" si="20"/>
        <v>3/4</v>
      </c>
      <c r="M267" s="37">
        <f>Main!$G$8-0.0001306*N267^2 * F267*(1+3.6/VLOOKUP(L267,Calculations!$B$4:$F$15,2,FALSE))/(3600*Main!$C$7*VLOOKUP(L267,Calculations!$B$4:$F$15,2,FALSE)^5)</f>
        <v>0.14820436411902377</v>
      </c>
      <c r="N267" s="37">
        <f t="shared" si="18"/>
        <v>0</v>
      </c>
      <c r="O267" s="37">
        <f>IF(H267&lt;32,SteamProperties!$F$24*Radiators!F267,IF(H267&lt;56,SteamProperties!$F$25*Radiators!F267,SteamProperties!$F$26*Radiators!F267))</f>
        <v>0</v>
      </c>
      <c r="P267" s="37">
        <f>IF(H267&lt;32,Calculations!$F$5*Radiators!F267,IF(H267&lt;56,Calculations!$F$6*Radiators!F267,Calculations!$F$7*Radiators!F267))</f>
        <v>0</v>
      </c>
      <c r="Q267" s="37">
        <f t="shared" si="19"/>
        <v>0</v>
      </c>
    </row>
    <row r="268" spans="2:17">
      <c r="B268" s="33"/>
      <c r="C268" s="34"/>
      <c r="D268" s="34"/>
      <c r="E268" s="34"/>
      <c r="F268" s="34"/>
      <c r="G268" s="34"/>
      <c r="H268" s="34">
        <f>IFERROR(IF(B268="Column",INDEX(RadCompList!$C$4:$G$13,MATCH(C268,RadCompList!$B$4:$B$13),MATCH(Radiators!D268,RadCompList!$C$3:$G$3)),IF(B268="Tube",INDEX(RadCompList!$C$16:$I$22,MATCH(C268,RadCompList!$B$16:$B$22),MATCH(Radiators!D268,RadCompList!$C$15:$I$15)),IF(B268="Cast Rad/Conv",INDEX(RadCompList!$C$28:$D$28,MATCH(C268,RadCompList!$B$28),MATCH(Radiators!D268,RadCompList!$C$27:$D$27)),IF(B268="Copper Cabinet",(INDEX(RadCompList!$E$39:$J$78,MATCH(Radiators!D268,RadCompList!$D$39:$D$78,0),MATCH(C268,RadCompList!$E$38:$J$38,0))),0))))*E268,0)*$A$2</f>
        <v>0</v>
      </c>
      <c r="I268" s="34">
        <f t="shared" si="17"/>
        <v>0</v>
      </c>
      <c r="J268" s="35">
        <f>IFERROR(VLOOKUP(G268,VentList!$A$1:$D$198,2,FALSE),0)</f>
        <v>0</v>
      </c>
      <c r="K268" s="26">
        <f>IFERROR(VLOOKUP(B268,RadCompList!$P$3:$Q$6,2,FALSE)*H268,0)</f>
        <v>0</v>
      </c>
      <c r="L268" s="26" t="str">
        <f t="shared" si="20"/>
        <v>3/4</v>
      </c>
      <c r="M268" s="37">
        <f>Main!$G$8-0.0001306*N268^2 * F268*(1+3.6/VLOOKUP(L268,Calculations!$B$4:$F$15,2,FALSE))/(3600*Main!$C$7*VLOOKUP(L268,Calculations!$B$4:$F$15,2,FALSE)^5)</f>
        <v>0.14820436411902377</v>
      </c>
      <c r="N268" s="37">
        <f t="shared" si="18"/>
        <v>0</v>
      </c>
      <c r="O268" s="37">
        <f>IF(H268&lt;32,SteamProperties!$F$24*Radiators!F268,IF(H268&lt;56,SteamProperties!$F$25*Radiators!F268,SteamProperties!$F$26*Radiators!F268))</f>
        <v>0</v>
      </c>
      <c r="P268" s="37">
        <f>IF(H268&lt;32,Calculations!$F$5*Radiators!F268,IF(H268&lt;56,Calculations!$F$6*Radiators!F268,Calculations!$F$7*Radiators!F268))</f>
        <v>0</v>
      </c>
      <c r="Q268" s="37">
        <f t="shared" si="19"/>
        <v>0</v>
      </c>
    </row>
    <row r="269" spans="2:17">
      <c r="B269" s="33"/>
      <c r="C269" s="34"/>
      <c r="D269" s="34"/>
      <c r="E269" s="34"/>
      <c r="F269" s="34"/>
      <c r="G269" s="34"/>
      <c r="H269" s="34">
        <f>IFERROR(IF(B269="Column",INDEX(RadCompList!$C$4:$G$13,MATCH(C269,RadCompList!$B$4:$B$13),MATCH(Radiators!D269,RadCompList!$C$3:$G$3)),IF(B269="Tube",INDEX(RadCompList!$C$16:$I$22,MATCH(C269,RadCompList!$B$16:$B$22),MATCH(Radiators!D269,RadCompList!$C$15:$I$15)),IF(B269="Cast Rad/Conv",INDEX(RadCompList!$C$28:$D$28,MATCH(C269,RadCompList!$B$28),MATCH(Radiators!D269,RadCompList!$C$27:$D$27)),IF(B269="Copper Cabinet",(INDEX(RadCompList!$E$39:$J$78,MATCH(Radiators!D269,RadCompList!$D$39:$D$78,0),MATCH(C269,RadCompList!$E$38:$J$38,0))),0))))*E269,0)*$A$2</f>
        <v>0</v>
      </c>
      <c r="I269" s="34">
        <f t="shared" si="17"/>
        <v>0</v>
      </c>
      <c r="J269" s="35">
        <f>IFERROR(VLOOKUP(G269,VentList!$A$1:$D$198,2,FALSE),0)</f>
        <v>0</v>
      </c>
      <c r="K269" s="26">
        <f>IFERROR(VLOOKUP(B269,RadCompList!$P$3:$Q$6,2,FALSE)*H269,0)</f>
        <v>0</v>
      </c>
      <c r="L269" s="26" t="str">
        <f t="shared" si="20"/>
        <v>3/4</v>
      </c>
      <c r="M269" s="37">
        <f>Main!$G$8-0.0001306*N269^2 * F269*(1+3.6/VLOOKUP(L269,Calculations!$B$4:$F$15,2,FALSE))/(3600*Main!$C$7*VLOOKUP(L269,Calculations!$B$4:$F$15,2,FALSE)^5)</f>
        <v>0.14820436411902377</v>
      </c>
      <c r="N269" s="37">
        <f t="shared" si="18"/>
        <v>0</v>
      </c>
      <c r="O269" s="37">
        <f>IF(H269&lt;32,SteamProperties!$F$24*Radiators!F269,IF(H269&lt;56,SteamProperties!$F$25*Radiators!F269,SteamProperties!$F$26*Radiators!F269))</f>
        <v>0</v>
      </c>
      <c r="P269" s="37">
        <f>IF(H269&lt;32,Calculations!$F$5*Radiators!F269,IF(H269&lt;56,Calculations!$F$6*Radiators!F269,Calculations!$F$7*Radiators!F269))</f>
        <v>0</v>
      </c>
      <c r="Q269" s="37">
        <f t="shared" si="19"/>
        <v>0</v>
      </c>
    </row>
    <row r="270" spans="2:17">
      <c r="B270" s="33"/>
      <c r="C270" s="34"/>
      <c r="D270" s="34"/>
      <c r="E270" s="34"/>
      <c r="F270" s="34"/>
      <c r="G270" s="34"/>
      <c r="H270" s="34">
        <f>IFERROR(IF(B270="Column",INDEX(RadCompList!$C$4:$G$13,MATCH(C270,RadCompList!$B$4:$B$13),MATCH(Radiators!D270,RadCompList!$C$3:$G$3)),IF(B270="Tube",INDEX(RadCompList!$C$16:$I$22,MATCH(C270,RadCompList!$B$16:$B$22),MATCH(Radiators!D270,RadCompList!$C$15:$I$15)),IF(B270="Cast Rad/Conv",INDEX(RadCompList!$C$28:$D$28,MATCH(C270,RadCompList!$B$28),MATCH(Radiators!D270,RadCompList!$C$27:$D$27)),IF(B270="Copper Cabinet",(INDEX(RadCompList!$E$39:$J$78,MATCH(Radiators!D270,RadCompList!$D$39:$D$78,0),MATCH(C270,RadCompList!$E$38:$J$38,0))),0))))*E270,0)*$A$2</f>
        <v>0</v>
      </c>
      <c r="I270" s="34">
        <f t="shared" si="17"/>
        <v>0</v>
      </c>
      <c r="J270" s="35">
        <f>IFERROR(VLOOKUP(G270,VentList!$A$1:$D$198,2,FALSE),0)</f>
        <v>0</v>
      </c>
      <c r="K270" s="26">
        <f>IFERROR(VLOOKUP(B270,RadCompList!$P$3:$Q$6,2,FALSE)*H270,0)</f>
        <v>0</v>
      </c>
      <c r="L270" s="26" t="str">
        <f t="shared" si="20"/>
        <v>3/4</v>
      </c>
      <c r="M270" s="37">
        <f>Main!$G$8-0.0001306*N270^2 * F270*(1+3.6/VLOOKUP(L270,Calculations!$B$4:$F$15,2,FALSE))/(3600*Main!$C$7*VLOOKUP(L270,Calculations!$B$4:$F$15,2,FALSE)^5)</f>
        <v>0.14820436411902377</v>
      </c>
      <c r="N270" s="37">
        <f t="shared" si="18"/>
        <v>0</v>
      </c>
      <c r="O270" s="37">
        <f>IF(H270&lt;32,SteamProperties!$F$24*Radiators!F270,IF(H270&lt;56,SteamProperties!$F$25*Radiators!F270,SteamProperties!$F$26*Radiators!F270))</f>
        <v>0</v>
      </c>
      <c r="P270" s="37">
        <f>IF(H270&lt;32,Calculations!$F$5*Radiators!F270,IF(H270&lt;56,Calculations!$F$6*Radiators!F270,Calculations!$F$7*Radiators!F270))</f>
        <v>0</v>
      </c>
      <c r="Q270" s="37">
        <f t="shared" si="19"/>
        <v>0</v>
      </c>
    </row>
    <row r="271" spans="2:17">
      <c r="B271" s="33"/>
      <c r="C271" s="34"/>
      <c r="D271" s="34"/>
      <c r="E271" s="34"/>
      <c r="F271" s="34"/>
      <c r="G271" s="34"/>
      <c r="H271" s="34">
        <f>IFERROR(IF(B271="Column",INDEX(RadCompList!$C$4:$G$13,MATCH(C271,RadCompList!$B$4:$B$13),MATCH(Radiators!D271,RadCompList!$C$3:$G$3)),IF(B271="Tube",INDEX(RadCompList!$C$16:$I$22,MATCH(C271,RadCompList!$B$16:$B$22),MATCH(Radiators!D271,RadCompList!$C$15:$I$15)),IF(B271="Cast Rad/Conv",INDEX(RadCompList!$C$28:$D$28,MATCH(C271,RadCompList!$B$28),MATCH(Radiators!D271,RadCompList!$C$27:$D$27)),IF(B271="Copper Cabinet",(INDEX(RadCompList!$E$39:$J$78,MATCH(Radiators!D271,RadCompList!$D$39:$D$78,0),MATCH(C271,RadCompList!$E$38:$J$38,0))),0))))*E271,0)*$A$2</f>
        <v>0</v>
      </c>
      <c r="I271" s="34">
        <f t="shared" si="17"/>
        <v>0</v>
      </c>
      <c r="J271" s="35">
        <f>IFERROR(VLOOKUP(G271,VentList!$A$1:$D$198,2,FALSE),0)</f>
        <v>0</v>
      </c>
      <c r="K271" s="26">
        <f>IFERROR(VLOOKUP(B271,RadCompList!$P$3:$Q$6,2,FALSE)*H271,0)</f>
        <v>0</v>
      </c>
      <c r="L271" s="26" t="str">
        <f t="shared" si="20"/>
        <v>3/4</v>
      </c>
      <c r="M271" s="37">
        <f>Main!$G$8-0.0001306*N271^2 * F271*(1+3.6/VLOOKUP(L271,Calculations!$B$4:$F$15,2,FALSE))/(3600*Main!$C$7*VLOOKUP(L271,Calculations!$B$4:$F$15,2,FALSE)^5)</f>
        <v>0.14820436411902377</v>
      </c>
      <c r="N271" s="37">
        <f t="shared" si="18"/>
        <v>0</v>
      </c>
      <c r="O271" s="37">
        <f>IF(H271&lt;32,SteamProperties!$F$24*Radiators!F271,IF(H271&lt;56,SteamProperties!$F$25*Radiators!F271,SteamProperties!$F$26*Radiators!F271))</f>
        <v>0</v>
      </c>
      <c r="P271" s="37">
        <f>IF(H271&lt;32,Calculations!$F$5*Radiators!F271,IF(H271&lt;56,Calculations!$F$6*Radiators!F271,Calculations!$F$7*Radiators!F271))</f>
        <v>0</v>
      </c>
      <c r="Q271" s="37">
        <f t="shared" si="19"/>
        <v>0</v>
      </c>
    </row>
    <row r="272" spans="2:17">
      <c r="B272" s="33"/>
      <c r="C272" s="34"/>
      <c r="D272" s="34"/>
      <c r="E272" s="34"/>
      <c r="F272" s="34"/>
      <c r="G272" s="34"/>
      <c r="H272" s="34">
        <f>IFERROR(IF(B272="Column",INDEX(RadCompList!$C$4:$G$13,MATCH(C272,RadCompList!$B$4:$B$13),MATCH(Radiators!D272,RadCompList!$C$3:$G$3)),IF(B272="Tube",INDEX(RadCompList!$C$16:$I$22,MATCH(C272,RadCompList!$B$16:$B$22),MATCH(Radiators!D272,RadCompList!$C$15:$I$15)),IF(B272="Cast Rad/Conv",INDEX(RadCompList!$C$28:$D$28,MATCH(C272,RadCompList!$B$28),MATCH(Radiators!D272,RadCompList!$C$27:$D$27)),IF(B272="Copper Cabinet",(INDEX(RadCompList!$E$39:$J$78,MATCH(Radiators!D272,RadCompList!$D$39:$D$78,0),MATCH(C272,RadCompList!$E$38:$J$38,0))),0))))*E272,0)*$A$2</f>
        <v>0</v>
      </c>
      <c r="I272" s="34">
        <f t="shared" si="17"/>
        <v>0</v>
      </c>
      <c r="J272" s="35">
        <f>IFERROR(VLOOKUP(G272,VentList!$A$1:$D$198,2,FALSE),0)</f>
        <v>0</v>
      </c>
      <c r="K272" s="26">
        <f>IFERROR(VLOOKUP(B272,RadCompList!$P$3:$Q$6,2,FALSE)*H272,0)</f>
        <v>0</v>
      </c>
      <c r="L272" s="26" t="str">
        <f t="shared" si="20"/>
        <v>3/4</v>
      </c>
      <c r="M272" s="37">
        <f>Main!$G$8-0.0001306*N272^2 * F272*(1+3.6/VLOOKUP(L272,Calculations!$B$4:$F$15,2,FALSE))/(3600*Main!$C$7*VLOOKUP(L272,Calculations!$B$4:$F$15,2,FALSE)^5)</f>
        <v>0.14820436411902377</v>
      </c>
      <c r="N272" s="37">
        <f t="shared" si="18"/>
        <v>0</v>
      </c>
      <c r="O272" s="37">
        <f>IF(H272&lt;32,SteamProperties!$F$24*Radiators!F272,IF(H272&lt;56,SteamProperties!$F$25*Radiators!F272,SteamProperties!$F$26*Radiators!F272))</f>
        <v>0</v>
      </c>
      <c r="P272" s="37">
        <f>IF(H272&lt;32,Calculations!$F$5*Radiators!F272,IF(H272&lt;56,Calculations!$F$6*Radiators!F272,Calculations!$F$7*Radiators!F272))</f>
        <v>0</v>
      </c>
      <c r="Q272" s="37">
        <f t="shared" si="19"/>
        <v>0</v>
      </c>
    </row>
    <row r="273" spans="2:17">
      <c r="B273" s="33"/>
      <c r="C273" s="34"/>
      <c r="D273" s="34"/>
      <c r="E273" s="34"/>
      <c r="F273" s="34"/>
      <c r="G273" s="34"/>
      <c r="H273" s="34">
        <f>IFERROR(IF(B273="Column",INDEX(RadCompList!$C$4:$G$13,MATCH(C273,RadCompList!$B$4:$B$13),MATCH(Radiators!D273,RadCompList!$C$3:$G$3)),IF(B273="Tube",INDEX(RadCompList!$C$16:$I$22,MATCH(C273,RadCompList!$B$16:$B$22),MATCH(Radiators!D273,RadCompList!$C$15:$I$15)),IF(B273="Cast Rad/Conv",INDEX(RadCompList!$C$28:$D$28,MATCH(C273,RadCompList!$B$28),MATCH(Radiators!D273,RadCompList!$C$27:$D$27)),IF(B273="Copper Cabinet",(INDEX(RadCompList!$E$39:$J$78,MATCH(Radiators!D273,RadCompList!$D$39:$D$78,0),MATCH(C273,RadCompList!$E$38:$J$38,0))),0))))*E273,0)*$A$2</f>
        <v>0</v>
      </c>
      <c r="I273" s="34">
        <f t="shared" si="17"/>
        <v>0</v>
      </c>
      <c r="J273" s="35">
        <f>IFERROR(VLOOKUP(G273,VentList!$A$1:$D$198,2,FALSE),0)</f>
        <v>0</v>
      </c>
      <c r="K273" s="26">
        <f>IFERROR(VLOOKUP(B273,RadCompList!$P$3:$Q$6,2,FALSE)*H273,0)</f>
        <v>0</v>
      </c>
      <c r="L273" s="26" t="str">
        <f t="shared" si="20"/>
        <v>3/4</v>
      </c>
      <c r="M273" s="37">
        <f>Main!$G$8-0.0001306*N273^2 * F273*(1+3.6/VLOOKUP(L273,Calculations!$B$4:$F$15,2,FALSE))/(3600*Main!$C$7*VLOOKUP(L273,Calculations!$B$4:$F$15,2,FALSE)^5)</f>
        <v>0.14820436411902377</v>
      </c>
      <c r="N273" s="37">
        <f t="shared" si="18"/>
        <v>0</v>
      </c>
      <c r="O273" s="37">
        <f>IF(H273&lt;32,SteamProperties!$F$24*Radiators!F273,IF(H273&lt;56,SteamProperties!$F$25*Radiators!F273,SteamProperties!$F$26*Radiators!F273))</f>
        <v>0</v>
      </c>
      <c r="P273" s="37">
        <f>IF(H273&lt;32,Calculations!$F$5*Radiators!F273,IF(H273&lt;56,Calculations!$F$6*Radiators!F273,Calculations!$F$7*Radiators!F273))</f>
        <v>0</v>
      </c>
      <c r="Q273" s="37">
        <f t="shared" si="19"/>
        <v>0</v>
      </c>
    </row>
    <row r="274" spans="2:17">
      <c r="B274" s="33"/>
      <c r="C274" s="34"/>
      <c r="D274" s="34"/>
      <c r="E274" s="34"/>
      <c r="F274" s="34"/>
      <c r="G274" s="34"/>
      <c r="H274" s="34">
        <f>IFERROR(IF(B274="Column",INDEX(RadCompList!$C$4:$G$13,MATCH(C274,RadCompList!$B$4:$B$13),MATCH(Radiators!D274,RadCompList!$C$3:$G$3)),IF(B274="Tube",INDEX(RadCompList!$C$16:$I$22,MATCH(C274,RadCompList!$B$16:$B$22),MATCH(Radiators!D274,RadCompList!$C$15:$I$15)),IF(B274="Cast Rad/Conv",INDEX(RadCompList!$C$28:$D$28,MATCH(C274,RadCompList!$B$28),MATCH(Radiators!D274,RadCompList!$C$27:$D$27)),IF(B274="Copper Cabinet",(INDEX(RadCompList!$E$39:$J$78,MATCH(Radiators!D274,RadCompList!$D$39:$D$78,0),MATCH(C274,RadCompList!$E$38:$J$38,0))),0))))*E274,0)*$A$2</f>
        <v>0</v>
      </c>
      <c r="I274" s="34">
        <f t="shared" si="17"/>
        <v>0</v>
      </c>
      <c r="J274" s="35">
        <f>IFERROR(VLOOKUP(G274,VentList!$A$1:$D$198,2,FALSE),0)</f>
        <v>0</v>
      </c>
      <c r="K274" s="26">
        <f>IFERROR(VLOOKUP(B274,RadCompList!$P$3:$Q$6,2,FALSE)*H274,0)</f>
        <v>0</v>
      </c>
      <c r="L274" s="26" t="str">
        <f t="shared" si="20"/>
        <v>3/4</v>
      </c>
      <c r="M274" s="37">
        <f>Main!$G$8-0.0001306*N274^2 * F274*(1+3.6/VLOOKUP(L274,Calculations!$B$4:$F$15,2,FALSE))/(3600*Main!$C$7*VLOOKUP(L274,Calculations!$B$4:$F$15,2,FALSE)^5)</f>
        <v>0.14820436411902377</v>
      </c>
      <c r="N274" s="37">
        <f t="shared" si="18"/>
        <v>0</v>
      </c>
      <c r="O274" s="37">
        <f>IF(H274&lt;32,SteamProperties!$F$24*Radiators!F274,IF(H274&lt;56,SteamProperties!$F$25*Radiators!F274,SteamProperties!$F$26*Radiators!F274))</f>
        <v>0</v>
      </c>
      <c r="P274" s="37">
        <f>IF(H274&lt;32,Calculations!$F$5*Radiators!F274,IF(H274&lt;56,Calculations!$F$6*Radiators!F274,Calculations!$F$7*Radiators!F274))</f>
        <v>0</v>
      </c>
      <c r="Q274" s="37">
        <f t="shared" si="19"/>
        <v>0</v>
      </c>
    </row>
    <row r="275" spans="2:17">
      <c r="B275" s="33"/>
      <c r="C275" s="34"/>
      <c r="D275" s="34"/>
      <c r="E275" s="34"/>
      <c r="F275" s="34"/>
      <c r="G275" s="34"/>
      <c r="H275" s="34">
        <f>IFERROR(IF(B275="Column",INDEX(RadCompList!$C$4:$G$13,MATCH(C275,RadCompList!$B$4:$B$13),MATCH(Radiators!D275,RadCompList!$C$3:$G$3)),IF(B275="Tube",INDEX(RadCompList!$C$16:$I$22,MATCH(C275,RadCompList!$B$16:$B$22),MATCH(Radiators!D275,RadCompList!$C$15:$I$15)),IF(B275="Cast Rad/Conv",INDEX(RadCompList!$C$28:$D$28,MATCH(C275,RadCompList!$B$28),MATCH(Radiators!D275,RadCompList!$C$27:$D$27)),IF(B275="Copper Cabinet",(INDEX(RadCompList!$E$39:$J$78,MATCH(Radiators!D275,RadCompList!$D$39:$D$78,0),MATCH(C275,RadCompList!$E$38:$J$38,0))),0))))*E275,0)*$A$2</f>
        <v>0</v>
      </c>
      <c r="I275" s="34">
        <f t="shared" si="17"/>
        <v>0</v>
      </c>
      <c r="J275" s="35">
        <f>IFERROR(VLOOKUP(G275,VentList!$A$1:$D$198,2,FALSE),0)</f>
        <v>0</v>
      </c>
      <c r="K275" s="26">
        <f>IFERROR(VLOOKUP(B275,RadCompList!$P$3:$Q$6,2,FALSE)*H275,0)</f>
        <v>0</v>
      </c>
      <c r="L275" s="26" t="str">
        <f t="shared" si="20"/>
        <v>3/4</v>
      </c>
      <c r="M275" s="37">
        <f>Main!$G$8-0.0001306*N275^2 * F275*(1+3.6/VLOOKUP(L275,Calculations!$B$4:$F$15,2,FALSE))/(3600*Main!$C$7*VLOOKUP(L275,Calculations!$B$4:$F$15,2,FALSE)^5)</f>
        <v>0.14820436411902377</v>
      </c>
      <c r="N275" s="37">
        <f t="shared" si="18"/>
        <v>0</v>
      </c>
      <c r="O275" s="37">
        <f>IF(H275&lt;32,SteamProperties!$F$24*Radiators!F275,IF(H275&lt;56,SteamProperties!$F$25*Radiators!F275,SteamProperties!$F$26*Radiators!F275))</f>
        <v>0</v>
      </c>
      <c r="P275" s="37">
        <f>IF(H275&lt;32,Calculations!$F$5*Radiators!F275,IF(H275&lt;56,Calculations!$F$6*Radiators!F275,Calculations!$F$7*Radiators!F275))</f>
        <v>0</v>
      </c>
      <c r="Q275" s="37">
        <f t="shared" si="19"/>
        <v>0</v>
      </c>
    </row>
    <row r="276" spans="2:17">
      <c r="B276" s="33"/>
      <c r="C276" s="34"/>
      <c r="D276" s="34"/>
      <c r="E276" s="34"/>
      <c r="F276" s="34"/>
      <c r="G276" s="34"/>
      <c r="H276" s="34">
        <f>IFERROR(IF(B276="Column",INDEX(RadCompList!$C$4:$G$13,MATCH(C276,RadCompList!$B$4:$B$13),MATCH(Radiators!D276,RadCompList!$C$3:$G$3)),IF(B276="Tube",INDEX(RadCompList!$C$16:$I$22,MATCH(C276,RadCompList!$B$16:$B$22),MATCH(Radiators!D276,RadCompList!$C$15:$I$15)),IF(B276="Cast Rad/Conv",INDEX(RadCompList!$C$28:$D$28,MATCH(C276,RadCompList!$B$28),MATCH(Radiators!D276,RadCompList!$C$27:$D$27)),IF(B276="Copper Cabinet",(INDEX(RadCompList!$E$39:$J$78,MATCH(Radiators!D276,RadCompList!$D$39:$D$78,0),MATCH(C276,RadCompList!$E$38:$J$38,0))),0))))*E276,0)*$A$2</f>
        <v>0</v>
      </c>
      <c r="I276" s="34">
        <f t="shared" si="17"/>
        <v>0</v>
      </c>
      <c r="J276" s="35">
        <f>IFERROR(VLOOKUP(G276,VentList!$A$1:$D$198,2,FALSE),0)</f>
        <v>0</v>
      </c>
      <c r="K276" s="26">
        <f>IFERROR(VLOOKUP(B276,RadCompList!$P$3:$Q$6,2,FALSE)*H276,0)</f>
        <v>0</v>
      </c>
      <c r="L276" s="26" t="str">
        <f t="shared" si="20"/>
        <v>3/4</v>
      </c>
      <c r="M276" s="37">
        <f>Main!$G$8-0.0001306*N276^2 * F276*(1+3.6/VLOOKUP(L276,Calculations!$B$4:$F$15,2,FALSE))/(3600*Main!$C$7*VLOOKUP(L276,Calculations!$B$4:$F$15,2,FALSE)^5)</f>
        <v>0.14820436411902377</v>
      </c>
      <c r="N276" s="37">
        <f t="shared" si="18"/>
        <v>0</v>
      </c>
      <c r="O276" s="37">
        <f>IF(H276&lt;32,SteamProperties!$F$24*Radiators!F276,IF(H276&lt;56,SteamProperties!$F$25*Radiators!F276,SteamProperties!$F$26*Radiators!F276))</f>
        <v>0</v>
      </c>
      <c r="P276" s="37">
        <f>IF(H276&lt;32,Calculations!$F$5*Radiators!F276,IF(H276&lt;56,Calculations!$F$6*Radiators!F276,Calculations!$F$7*Radiators!F276))</f>
        <v>0</v>
      </c>
      <c r="Q276" s="37">
        <f t="shared" si="19"/>
        <v>0</v>
      </c>
    </row>
    <row r="277" spans="2:17">
      <c r="B277" s="33"/>
      <c r="C277" s="34"/>
      <c r="D277" s="34"/>
      <c r="E277" s="34"/>
      <c r="F277" s="34"/>
      <c r="G277" s="34"/>
      <c r="H277" s="34">
        <f>IFERROR(IF(B277="Column",INDEX(RadCompList!$C$4:$G$13,MATCH(C277,RadCompList!$B$4:$B$13),MATCH(Radiators!D277,RadCompList!$C$3:$G$3)),IF(B277="Tube",INDEX(RadCompList!$C$16:$I$22,MATCH(C277,RadCompList!$B$16:$B$22),MATCH(Radiators!D277,RadCompList!$C$15:$I$15)),IF(B277="Cast Rad/Conv",INDEX(RadCompList!$C$28:$D$28,MATCH(C277,RadCompList!$B$28),MATCH(Radiators!D277,RadCompList!$C$27:$D$27)),IF(B277="Copper Cabinet",(INDEX(RadCompList!$E$39:$J$78,MATCH(Radiators!D277,RadCompList!$D$39:$D$78,0),MATCH(C277,RadCompList!$E$38:$J$38,0))),0))))*E277,0)*$A$2</f>
        <v>0</v>
      </c>
      <c r="I277" s="34">
        <f t="shared" si="17"/>
        <v>0</v>
      </c>
      <c r="J277" s="35">
        <f>IFERROR(VLOOKUP(G277,VentList!$A$1:$D$198,2,FALSE),0)</f>
        <v>0</v>
      </c>
      <c r="K277" s="26">
        <f>IFERROR(VLOOKUP(B277,RadCompList!$P$3:$Q$6,2,FALSE)*H277,0)</f>
        <v>0</v>
      </c>
      <c r="L277" s="26" t="str">
        <f t="shared" si="20"/>
        <v>3/4</v>
      </c>
      <c r="M277" s="37">
        <f>Main!$G$8-0.0001306*N277^2 * F277*(1+3.6/VLOOKUP(L277,Calculations!$B$4:$F$15,2,FALSE))/(3600*Main!$C$7*VLOOKUP(L277,Calculations!$B$4:$F$15,2,FALSE)^5)</f>
        <v>0.14820436411902377</v>
      </c>
      <c r="N277" s="37">
        <f t="shared" si="18"/>
        <v>0</v>
      </c>
      <c r="O277" s="37">
        <f>IF(H277&lt;32,SteamProperties!$F$24*Radiators!F277,IF(H277&lt;56,SteamProperties!$F$25*Radiators!F277,SteamProperties!$F$26*Radiators!F277))</f>
        <v>0</v>
      </c>
      <c r="P277" s="37">
        <f>IF(H277&lt;32,Calculations!$F$5*Radiators!F277,IF(H277&lt;56,Calculations!$F$6*Radiators!F277,Calculations!$F$7*Radiators!F277))</f>
        <v>0</v>
      </c>
      <c r="Q277" s="37">
        <f t="shared" si="19"/>
        <v>0</v>
      </c>
    </row>
    <row r="278" spans="2:17">
      <c r="B278" s="33"/>
      <c r="C278" s="34"/>
      <c r="D278" s="34"/>
      <c r="E278" s="34"/>
      <c r="F278" s="34"/>
      <c r="G278" s="34"/>
      <c r="H278" s="34">
        <f>IFERROR(IF(B278="Column",INDEX(RadCompList!$C$4:$G$13,MATCH(C278,RadCompList!$B$4:$B$13),MATCH(Radiators!D278,RadCompList!$C$3:$G$3)),IF(B278="Tube",INDEX(RadCompList!$C$16:$I$22,MATCH(C278,RadCompList!$B$16:$B$22),MATCH(Radiators!D278,RadCompList!$C$15:$I$15)),IF(B278="Cast Rad/Conv",INDEX(RadCompList!$C$28:$D$28,MATCH(C278,RadCompList!$B$28),MATCH(Radiators!D278,RadCompList!$C$27:$D$27)),IF(B278="Copper Cabinet",(INDEX(RadCompList!$E$39:$J$78,MATCH(Radiators!D278,RadCompList!$D$39:$D$78,0),MATCH(C278,RadCompList!$E$38:$J$38,0))),0))))*E278,0)*$A$2</f>
        <v>0</v>
      </c>
      <c r="I278" s="34">
        <f t="shared" si="17"/>
        <v>0</v>
      </c>
      <c r="J278" s="35">
        <f>IFERROR(VLOOKUP(G278,VentList!$A$1:$D$198,2,FALSE),0)</f>
        <v>0</v>
      </c>
      <c r="K278" s="26">
        <f>IFERROR(VLOOKUP(B278,RadCompList!$P$3:$Q$6,2,FALSE)*H278,0)</f>
        <v>0</v>
      </c>
      <c r="L278" s="26" t="str">
        <f t="shared" si="20"/>
        <v>3/4</v>
      </c>
      <c r="M278" s="37">
        <f>Main!$G$8-0.0001306*N278^2 * F278*(1+3.6/VLOOKUP(L278,Calculations!$B$4:$F$15,2,FALSE))/(3600*Main!$C$7*VLOOKUP(L278,Calculations!$B$4:$F$15,2,FALSE)^5)</f>
        <v>0.14820436411902377</v>
      </c>
      <c r="N278" s="37">
        <f t="shared" si="18"/>
        <v>0</v>
      </c>
      <c r="O278" s="37">
        <f>IF(H278&lt;32,SteamProperties!$F$24*Radiators!F278,IF(H278&lt;56,SteamProperties!$F$25*Radiators!F278,SteamProperties!$F$26*Radiators!F278))</f>
        <v>0</v>
      </c>
      <c r="P278" s="37">
        <f>IF(H278&lt;32,Calculations!$F$5*Radiators!F278,IF(H278&lt;56,Calculations!$F$6*Radiators!F278,Calculations!$F$7*Radiators!F278))</f>
        <v>0</v>
      </c>
      <c r="Q278" s="37">
        <f t="shared" si="19"/>
        <v>0</v>
      </c>
    </row>
    <row r="279" spans="2:17">
      <c r="B279" s="33"/>
      <c r="C279" s="34"/>
      <c r="D279" s="34"/>
      <c r="E279" s="34"/>
      <c r="F279" s="34"/>
      <c r="G279" s="34"/>
      <c r="H279" s="34">
        <f>IFERROR(IF(B279="Column",INDEX(RadCompList!$C$4:$G$13,MATCH(C279,RadCompList!$B$4:$B$13),MATCH(Radiators!D279,RadCompList!$C$3:$G$3)),IF(B279="Tube",INDEX(RadCompList!$C$16:$I$22,MATCH(C279,RadCompList!$B$16:$B$22),MATCH(Radiators!D279,RadCompList!$C$15:$I$15)),IF(B279="Cast Rad/Conv",INDEX(RadCompList!$C$28:$D$28,MATCH(C279,RadCompList!$B$28),MATCH(Radiators!D279,RadCompList!$C$27:$D$27)),IF(B279="Copper Cabinet",(INDEX(RadCompList!$E$39:$J$78,MATCH(Radiators!D279,RadCompList!$D$39:$D$78,0),MATCH(C279,RadCompList!$E$38:$J$38,0))),0))))*E279,0)*$A$2</f>
        <v>0</v>
      </c>
      <c r="I279" s="34">
        <f t="shared" si="17"/>
        <v>0</v>
      </c>
      <c r="J279" s="35">
        <f>IFERROR(VLOOKUP(G279,VentList!$A$1:$D$198,2,FALSE),0)</f>
        <v>0</v>
      </c>
      <c r="K279" s="26">
        <f>IFERROR(VLOOKUP(B279,RadCompList!$P$3:$Q$6,2,FALSE)*H279,0)</f>
        <v>0</v>
      </c>
      <c r="L279" s="26" t="str">
        <f t="shared" si="20"/>
        <v>3/4</v>
      </c>
      <c r="M279" s="37">
        <f>Main!$G$8-0.0001306*N279^2 * F279*(1+3.6/VLOOKUP(L279,Calculations!$B$4:$F$15,2,FALSE))/(3600*Main!$C$7*VLOOKUP(L279,Calculations!$B$4:$F$15,2,FALSE)^5)</f>
        <v>0.14820436411902377</v>
      </c>
      <c r="N279" s="37">
        <f t="shared" si="18"/>
        <v>0</v>
      </c>
      <c r="O279" s="37">
        <f>IF(H279&lt;32,SteamProperties!$F$24*Radiators!F279,IF(H279&lt;56,SteamProperties!$F$25*Radiators!F279,SteamProperties!$F$26*Radiators!F279))</f>
        <v>0</v>
      </c>
      <c r="P279" s="37">
        <f>IF(H279&lt;32,Calculations!$F$5*Radiators!F279,IF(H279&lt;56,Calculations!$F$6*Radiators!F279,Calculations!$F$7*Radiators!F279))</f>
        <v>0</v>
      </c>
      <c r="Q279" s="37">
        <f t="shared" si="19"/>
        <v>0</v>
      </c>
    </row>
    <row r="280" spans="2:17">
      <c r="B280" s="33"/>
      <c r="C280" s="34"/>
      <c r="D280" s="34"/>
      <c r="E280" s="34"/>
      <c r="F280" s="34"/>
      <c r="G280" s="34"/>
      <c r="H280" s="34">
        <f>IFERROR(IF(B280="Column",INDEX(RadCompList!$C$4:$G$13,MATCH(C280,RadCompList!$B$4:$B$13),MATCH(Radiators!D280,RadCompList!$C$3:$G$3)),IF(B280="Tube",INDEX(RadCompList!$C$16:$I$22,MATCH(C280,RadCompList!$B$16:$B$22),MATCH(Radiators!D280,RadCompList!$C$15:$I$15)),IF(B280="Cast Rad/Conv",INDEX(RadCompList!$C$28:$D$28,MATCH(C280,RadCompList!$B$28),MATCH(Radiators!D280,RadCompList!$C$27:$D$27)),IF(B280="Copper Cabinet",(INDEX(RadCompList!$E$39:$J$78,MATCH(Radiators!D280,RadCompList!$D$39:$D$78,0),MATCH(C280,RadCompList!$E$38:$J$38,0))),0))))*E280,0)*$A$2</f>
        <v>0</v>
      </c>
      <c r="I280" s="34">
        <f t="shared" si="17"/>
        <v>0</v>
      </c>
      <c r="J280" s="35">
        <f>IFERROR(VLOOKUP(G280,VentList!$A$1:$D$198,2,FALSE),0)</f>
        <v>0</v>
      </c>
      <c r="K280" s="26">
        <f>IFERROR(VLOOKUP(B280,RadCompList!$P$3:$Q$6,2,FALSE)*H280,0)</f>
        <v>0</v>
      </c>
      <c r="L280" s="26" t="str">
        <f t="shared" si="20"/>
        <v>3/4</v>
      </c>
      <c r="M280" s="37">
        <f>Main!$G$8-0.0001306*N280^2 * F280*(1+3.6/VLOOKUP(L280,Calculations!$B$4:$F$15,2,FALSE))/(3600*Main!$C$7*VLOOKUP(L280,Calculations!$B$4:$F$15,2,FALSE)^5)</f>
        <v>0.14820436411902377</v>
      </c>
      <c r="N280" s="37">
        <f t="shared" si="18"/>
        <v>0</v>
      </c>
      <c r="O280" s="37">
        <f>IF(H280&lt;32,SteamProperties!$F$24*Radiators!F280,IF(H280&lt;56,SteamProperties!$F$25*Radiators!F280,SteamProperties!$F$26*Radiators!F280))</f>
        <v>0</v>
      </c>
      <c r="P280" s="37">
        <f>IF(H280&lt;32,Calculations!$F$5*Radiators!F280,IF(H280&lt;56,Calculations!$F$6*Radiators!F280,Calculations!$F$7*Radiators!F280))</f>
        <v>0</v>
      </c>
      <c r="Q280" s="37">
        <f t="shared" si="19"/>
        <v>0</v>
      </c>
    </row>
    <row r="281" spans="2:17">
      <c r="B281" s="33"/>
      <c r="C281" s="34"/>
      <c r="D281" s="34"/>
      <c r="E281" s="34"/>
      <c r="F281" s="34"/>
      <c r="G281" s="34"/>
      <c r="H281" s="34">
        <f>IFERROR(IF(B281="Column",INDEX(RadCompList!$C$4:$G$13,MATCH(C281,RadCompList!$B$4:$B$13),MATCH(Radiators!D281,RadCompList!$C$3:$G$3)),IF(B281="Tube",INDEX(RadCompList!$C$16:$I$22,MATCH(C281,RadCompList!$B$16:$B$22),MATCH(Radiators!D281,RadCompList!$C$15:$I$15)),IF(B281="Cast Rad/Conv",INDEX(RadCompList!$C$28:$D$28,MATCH(C281,RadCompList!$B$28),MATCH(Radiators!D281,RadCompList!$C$27:$D$27)),IF(B281="Copper Cabinet",(INDEX(RadCompList!$E$39:$J$78,MATCH(Radiators!D281,RadCompList!$D$39:$D$78,0),MATCH(C281,RadCompList!$E$38:$J$38,0))),0))))*E281,0)*$A$2</f>
        <v>0</v>
      </c>
      <c r="I281" s="34">
        <f t="shared" si="17"/>
        <v>0</v>
      </c>
      <c r="J281" s="35">
        <f>IFERROR(VLOOKUP(G281,VentList!$A$1:$D$198,2,FALSE),0)</f>
        <v>0</v>
      </c>
      <c r="K281" s="26">
        <f>IFERROR(VLOOKUP(B281,RadCompList!$P$3:$Q$6,2,FALSE)*H281,0)</f>
        <v>0</v>
      </c>
      <c r="L281" s="26" t="str">
        <f t="shared" si="20"/>
        <v>3/4</v>
      </c>
      <c r="M281" s="37">
        <f>Main!$G$8-0.0001306*N281^2 * F281*(1+3.6/VLOOKUP(L281,Calculations!$B$4:$F$15,2,FALSE))/(3600*Main!$C$7*VLOOKUP(L281,Calculations!$B$4:$F$15,2,FALSE)^5)</f>
        <v>0.14820436411902377</v>
      </c>
      <c r="N281" s="37">
        <f t="shared" si="18"/>
        <v>0</v>
      </c>
      <c r="O281" s="37">
        <f>IF(H281&lt;32,SteamProperties!$F$24*Radiators!F281,IF(H281&lt;56,SteamProperties!$F$25*Radiators!F281,SteamProperties!$F$26*Radiators!F281))</f>
        <v>0</v>
      </c>
      <c r="P281" s="37">
        <f>IF(H281&lt;32,Calculations!$F$5*Radiators!F281,IF(H281&lt;56,Calculations!$F$6*Radiators!F281,Calculations!$F$7*Radiators!F281))</f>
        <v>0</v>
      </c>
      <c r="Q281" s="37">
        <f t="shared" si="19"/>
        <v>0</v>
      </c>
    </row>
    <row r="282" spans="2:17">
      <c r="B282" s="33"/>
      <c r="C282" s="34"/>
      <c r="D282" s="34"/>
      <c r="E282" s="34"/>
      <c r="F282" s="34"/>
      <c r="G282" s="34"/>
      <c r="H282" s="34">
        <f>IFERROR(IF(B282="Column",INDEX(RadCompList!$C$4:$G$13,MATCH(C282,RadCompList!$B$4:$B$13),MATCH(Radiators!D282,RadCompList!$C$3:$G$3)),IF(B282="Tube",INDEX(RadCompList!$C$16:$I$22,MATCH(C282,RadCompList!$B$16:$B$22),MATCH(Radiators!D282,RadCompList!$C$15:$I$15)),IF(B282="Cast Rad/Conv",INDEX(RadCompList!$C$28:$D$28,MATCH(C282,RadCompList!$B$28),MATCH(Radiators!D282,RadCompList!$C$27:$D$27)),IF(B282="Copper Cabinet",(INDEX(RadCompList!$E$39:$J$78,MATCH(Radiators!D282,RadCompList!$D$39:$D$78,0),MATCH(C282,RadCompList!$E$38:$J$38,0))),0))))*E282,0)*$A$2</f>
        <v>0</v>
      </c>
      <c r="I282" s="34">
        <f t="shared" si="17"/>
        <v>0</v>
      </c>
      <c r="J282" s="35">
        <f>IFERROR(VLOOKUP(G282,VentList!$A$1:$D$198,2,FALSE),0)</f>
        <v>0</v>
      </c>
      <c r="K282" s="26">
        <f>IFERROR(VLOOKUP(B282,RadCompList!$P$3:$Q$6,2,FALSE)*H282,0)</f>
        <v>0</v>
      </c>
      <c r="L282" s="26" t="str">
        <f t="shared" si="20"/>
        <v>3/4</v>
      </c>
      <c r="M282" s="37">
        <f>Main!$G$8-0.0001306*N282^2 * F282*(1+3.6/VLOOKUP(L282,Calculations!$B$4:$F$15,2,FALSE))/(3600*Main!$C$7*VLOOKUP(L282,Calculations!$B$4:$F$15,2,FALSE)^5)</f>
        <v>0.14820436411902377</v>
      </c>
      <c r="N282" s="37">
        <f t="shared" si="18"/>
        <v>0</v>
      </c>
      <c r="O282" s="37">
        <f>IF(H282&lt;32,SteamProperties!$F$24*Radiators!F282,IF(H282&lt;56,SteamProperties!$F$25*Radiators!F282,SteamProperties!$F$26*Radiators!F282))</f>
        <v>0</v>
      </c>
      <c r="P282" s="37">
        <f>IF(H282&lt;32,Calculations!$F$5*Radiators!F282,IF(H282&lt;56,Calculations!$F$6*Radiators!F282,Calculations!$F$7*Radiators!F282))</f>
        <v>0</v>
      </c>
      <c r="Q282" s="37">
        <f t="shared" si="19"/>
        <v>0</v>
      </c>
    </row>
    <row r="283" spans="2:17">
      <c r="B283" s="33"/>
      <c r="C283" s="34"/>
      <c r="D283" s="34"/>
      <c r="E283" s="34"/>
      <c r="F283" s="34"/>
      <c r="G283" s="34"/>
      <c r="H283" s="34">
        <f>IFERROR(IF(B283="Column",INDEX(RadCompList!$C$4:$G$13,MATCH(C283,RadCompList!$B$4:$B$13),MATCH(Radiators!D283,RadCompList!$C$3:$G$3)),IF(B283="Tube",INDEX(RadCompList!$C$16:$I$22,MATCH(C283,RadCompList!$B$16:$B$22),MATCH(Radiators!D283,RadCompList!$C$15:$I$15)),IF(B283="Cast Rad/Conv",INDEX(RadCompList!$C$28:$D$28,MATCH(C283,RadCompList!$B$28),MATCH(Radiators!D283,RadCompList!$C$27:$D$27)),IF(B283="Copper Cabinet",(INDEX(RadCompList!$E$39:$J$78,MATCH(Radiators!D283,RadCompList!$D$39:$D$78,0),MATCH(C283,RadCompList!$E$38:$J$38,0))),0))))*E283,0)*$A$2</f>
        <v>0</v>
      </c>
      <c r="I283" s="34">
        <f t="shared" si="17"/>
        <v>0</v>
      </c>
      <c r="J283" s="35">
        <f>IFERROR(VLOOKUP(G283,VentList!$A$1:$D$198,2,FALSE),0)</f>
        <v>0</v>
      </c>
      <c r="K283" s="26">
        <f>IFERROR(VLOOKUP(B283,RadCompList!$P$3:$Q$6,2,FALSE)*H283,0)</f>
        <v>0</v>
      </c>
      <c r="L283" s="26" t="str">
        <f t="shared" si="20"/>
        <v>3/4</v>
      </c>
      <c r="M283" s="37">
        <f>Main!$G$8-0.0001306*N283^2 * F283*(1+3.6/VLOOKUP(L283,Calculations!$B$4:$F$15,2,FALSE))/(3600*Main!$C$7*VLOOKUP(L283,Calculations!$B$4:$F$15,2,FALSE)^5)</f>
        <v>0.14820436411902377</v>
      </c>
      <c r="N283" s="37">
        <f t="shared" si="18"/>
        <v>0</v>
      </c>
      <c r="O283" s="37">
        <f>IF(H283&lt;32,SteamProperties!$F$24*Radiators!F283,IF(H283&lt;56,SteamProperties!$F$25*Radiators!F283,SteamProperties!$F$26*Radiators!F283))</f>
        <v>0</v>
      </c>
      <c r="P283" s="37">
        <f>IF(H283&lt;32,Calculations!$F$5*Radiators!F283,IF(H283&lt;56,Calculations!$F$6*Radiators!F283,Calculations!$F$7*Radiators!F283))</f>
        <v>0</v>
      </c>
      <c r="Q283" s="37">
        <f t="shared" si="19"/>
        <v>0</v>
      </c>
    </row>
    <row r="284" spans="2:17">
      <c r="B284" s="33"/>
      <c r="C284" s="34"/>
      <c r="D284" s="34"/>
      <c r="E284" s="34"/>
      <c r="F284" s="34"/>
      <c r="G284" s="34"/>
      <c r="H284" s="34">
        <f>IFERROR(IF(B284="Column",INDEX(RadCompList!$C$4:$G$13,MATCH(C284,RadCompList!$B$4:$B$13),MATCH(Radiators!D284,RadCompList!$C$3:$G$3)),IF(B284="Tube",INDEX(RadCompList!$C$16:$I$22,MATCH(C284,RadCompList!$B$16:$B$22),MATCH(Radiators!D284,RadCompList!$C$15:$I$15)),IF(B284="Cast Rad/Conv",INDEX(RadCompList!$C$28:$D$28,MATCH(C284,RadCompList!$B$28),MATCH(Radiators!D284,RadCompList!$C$27:$D$27)),IF(B284="Copper Cabinet",(INDEX(RadCompList!$E$39:$J$78,MATCH(Radiators!D284,RadCompList!$D$39:$D$78,0),MATCH(C284,RadCompList!$E$38:$J$38,0))),0))))*E284,0)*$A$2</f>
        <v>0</v>
      </c>
      <c r="I284" s="34">
        <f t="shared" si="17"/>
        <v>0</v>
      </c>
      <c r="J284" s="35">
        <f>IFERROR(VLOOKUP(G284,VentList!$A$1:$D$198,2,FALSE),0)</f>
        <v>0</v>
      </c>
      <c r="K284" s="26">
        <f>IFERROR(VLOOKUP(B284,RadCompList!$P$3:$Q$6,2,FALSE)*H284,0)</f>
        <v>0</v>
      </c>
      <c r="L284" s="26" t="str">
        <f t="shared" si="20"/>
        <v>3/4</v>
      </c>
      <c r="M284" s="37">
        <f>Main!$G$8-0.0001306*N284^2 * F284*(1+3.6/VLOOKUP(L284,Calculations!$B$4:$F$15,2,FALSE))/(3600*Main!$C$7*VLOOKUP(L284,Calculations!$B$4:$F$15,2,FALSE)^5)</f>
        <v>0.14820436411902377</v>
      </c>
      <c r="N284" s="37">
        <f t="shared" si="18"/>
        <v>0</v>
      </c>
      <c r="O284" s="37">
        <f>IF(H284&lt;32,SteamProperties!$F$24*Radiators!F284,IF(H284&lt;56,SteamProperties!$F$25*Radiators!F284,SteamProperties!$F$26*Radiators!F284))</f>
        <v>0</v>
      </c>
      <c r="P284" s="37">
        <f>IF(H284&lt;32,Calculations!$F$5*Radiators!F284,IF(H284&lt;56,Calculations!$F$6*Radiators!F284,Calculations!$F$7*Radiators!F284))</f>
        <v>0</v>
      </c>
      <c r="Q284" s="37">
        <f t="shared" si="19"/>
        <v>0</v>
      </c>
    </row>
    <row r="285" spans="2:17">
      <c r="B285" s="33"/>
      <c r="C285" s="34"/>
      <c r="D285" s="34"/>
      <c r="E285" s="34"/>
      <c r="F285" s="34"/>
      <c r="G285" s="34"/>
      <c r="H285" s="34">
        <f>IFERROR(IF(B285="Column",INDEX(RadCompList!$C$4:$G$13,MATCH(C285,RadCompList!$B$4:$B$13),MATCH(Radiators!D285,RadCompList!$C$3:$G$3)),IF(B285="Tube",INDEX(RadCompList!$C$16:$I$22,MATCH(C285,RadCompList!$B$16:$B$22),MATCH(Radiators!D285,RadCompList!$C$15:$I$15)),IF(B285="Cast Rad/Conv",INDEX(RadCompList!$C$28:$D$28,MATCH(C285,RadCompList!$B$28),MATCH(Radiators!D285,RadCompList!$C$27:$D$27)),IF(B285="Copper Cabinet",(INDEX(RadCompList!$E$39:$J$78,MATCH(Radiators!D285,RadCompList!$D$39:$D$78,0),MATCH(C285,RadCompList!$E$38:$J$38,0))),0))))*E285,0)*$A$2</f>
        <v>0</v>
      </c>
      <c r="I285" s="34">
        <f t="shared" si="17"/>
        <v>0</v>
      </c>
      <c r="J285" s="35">
        <f>IFERROR(VLOOKUP(G285,VentList!$A$1:$D$198,2,FALSE),0)</f>
        <v>0</v>
      </c>
      <c r="K285" s="26">
        <f>IFERROR(VLOOKUP(B285,RadCompList!$P$3:$Q$6,2,FALSE)*H285,0)</f>
        <v>0</v>
      </c>
      <c r="L285" s="26" t="str">
        <f t="shared" si="20"/>
        <v>3/4</v>
      </c>
      <c r="M285" s="37">
        <f>Main!$G$8-0.0001306*N285^2 * F285*(1+3.6/VLOOKUP(L285,Calculations!$B$4:$F$15,2,FALSE))/(3600*Main!$C$7*VLOOKUP(L285,Calculations!$B$4:$F$15,2,FALSE)^5)</f>
        <v>0.14820436411902377</v>
      </c>
      <c r="N285" s="37">
        <f t="shared" si="18"/>
        <v>0</v>
      </c>
      <c r="O285" s="37">
        <f>IF(H285&lt;32,SteamProperties!$F$24*Radiators!F285,IF(H285&lt;56,SteamProperties!$F$25*Radiators!F285,SteamProperties!$F$26*Radiators!F285))</f>
        <v>0</v>
      </c>
      <c r="P285" s="37">
        <f>IF(H285&lt;32,Calculations!$F$5*Radiators!F285,IF(H285&lt;56,Calculations!$F$6*Radiators!F285,Calculations!$F$7*Radiators!F285))</f>
        <v>0</v>
      </c>
      <c r="Q285" s="37">
        <f t="shared" si="19"/>
        <v>0</v>
      </c>
    </row>
    <row r="286" spans="2:17">
      <c r="B286" s="33"/>
      <c r="C286" s="34"/>
      <c r="D286" s="34"/>
      <c r="E286" s="34"/>
      <c r="F286" s="34"/>
      <c r="G286" s="34"/>
      <c r="H286" s="34">
        <f>IFERROR(IF(B286="Column",INDEX(RadCompList!$C$4:$G$13,MATCH(C286,RadCompList!$B$4:$B$13),MATCH(Radiators!D286,RadCompList!$C$3:$G$3)),IF(B286="Tube",INDEX(RadCompList!$C$16:$I$22,MATCH(C286,RadCompList!$B$16:$B$22),MATCH(Radiators!D286,RadCompList!$C$15:$I$15)),IF(B286="Cast Rad/Conv",INDEX(RadCompList!$C$28:$D$28,MATCH(C286,RadCompList!$B$28),MATCH(Radiators!D286,RadCompList!$C$27:$D$27)),IF(B286="Copper Cabinet",(INDEX(RadCompList!$E$39:$J$78,MATCH(Radiators!D286,RadCompList!$D$39:$D$78,0),MATCH(C286,RadCompList!$E$38:$J$38,0))),0))))*E286,0)*$A$2</f>
        <v>0</v>
      </c>
      <c r="I286" s="34">
        <f t="shared" si="17"/>
        <v>0</v>
      </c>
      <c r="J286" s="35">
        <f>IFERROR(VLOOKUP(G286,VentList!$A$1:$D$198,2,FALSE),0)</f>
        <v>0</v>
      </c>
      <c r="K286" s="26">
        <f>IFERROR(VLOOKUP(B286,RadCompList!$P$3:$Q$6,2,FALSE)*H286,0)</f>
        <v>0</v>
      </c>
      <c r="L286" s="26" t="str">
        <f t="shared" si="20"/>
        <v>3/4</v>
      </c>
      <c r="M286" s="37">
        <f>Main!$G$8-0.0001306*N286^2 * F286*(1+3.6/VLOOKUP(L286,Calculations!$B$4:$F$15,2,FALSE))/(3600*Main!$C$7*VLOOKUP(L286,Calculations!$B$4:$F$15,2,FALSE)^5)</f>
        <v>0.14820436411902377</v>
      </c>
      <c r="N286" s="37">
        <f t="shared" si="18"/>
        <v>0</v>
      </c>
      <c r="O286" s="37">
        <f>IF(H286&lt;32,SteamProperties!$F$24*Radiators!F286,IF(H286&lt;56,SteamProperties!$F$25*Radiators!F286,SteamProperties!$F$26*Radiators!F286))</f>
        <v>0</v>
      </c>
      <c r="P286" s="37">
        <f>IF(H286&lt;32,Calculations!$F$5*Radiators!F286,IF(H286&lt;56,Calculations!$F$6*Radiators!F286,Calculations!$F$7*Radiators!F286))</f>
        <v>0</v>
      </c>
      <c r="Q286" s="37">
        <f t="shared" si="19"/>
        <v>0</v>
      </c>
    </row>
    <row r="287" spans="2:17">
      <c r="B287" s="33"/>
      <c r="C287" s="34"/>
      <c r="D287" s="34"/>
      <c r="E287" s="34"/>
      <c r="F287" s="34"/>
      <c r="G287" s="34"/>
      <c r="H287" s="34">
        <f>IFERROR(IF(B287="Column",INDEX(RadCompList!$C$4:$G$13,MATCH(C287,RadCompList!$B$4:$B$13),MATCH(Radiators!D287,RadCompList!$C$3:$G$3)),IF(B287="Tube",INDEX(RadCompList!$C$16:$I$22,MATCH(C287,RadCompList!$B$16:$B$22),MATCH(Radiators!D287,RadCompList!$C$15:$I$15)),IF(B287="Cast Rad/Conv",INDEX(RadCompList!$C$28:$D$28,MATCH(C287,RadCompList!$B$28),MATCH(Radiators!D287,RadCompList!$C$27:$D$27)),IF(B287="Copper Cabinet",(INDEX(RadCompList!$E$39:$J$78,MATCH(Radiators!D287,RadCompList!$D$39:$D$78,0),MATCH(C287,RadCompList!$E$38:$J$38,0))),0))))*E287,0)*$A$2</f>
        <v>0</v>
      </c>
      <c r="I287" s="34">
        <f t="shared" si="17"/>
        <v>0</v>
      </c>
      <c r="J287" s="35">
        <f>IFERROR(VLOOKUP(G287,VentList!$A$1:$D$198,2,FALSE),0)</f>
        <v>0</v>
      </c>
      <c r="K287" s="26">
        <f>IFERROR(VLOOKUP(B287,RadCompList!$P$3:$Q$6,2,FALSE)*H287,0)</f>
        <v>0</v>
      </c>
      <c r="L287" s="26" t="str">
        <f t="shared" si="20"/>
        <v>3/4</v>
      </c>
      <c r="M287" s="37">
        <f>Main!$G$8-0.0001306*N287^2 * F287*(1+3.6/VLOOKUP(L287,Calculations!$B$4:$F$15,2,FALSE))/(3600*Main!$C$7*VLOOKUP(L287,Calculations!$B$4:$F$15,2,FALSE)^5)</f>
        <v>0.14820436411902377</v>
      </c>
      <c r="N287" s="37">
        <f t="shared" si="18"/>
        <v>0</v>
      </c>
      <c r="O287" s="37">
        <f>IF(H287&lt;32,SteamProperties!$F$24*Radiators!F287,IF(H287&lt;56,SteamProperties!$F$25*Radiators!F287,SteamProperties!$F$26*Radiators!F287))</f>
        <v>0</v>
      </c>
      <c r="P287" s="37">
        <f>IF(H287&lt;32,Calculations!$F$5*Radiators!F287,IF(H287&lt;56,Calculations!$F$6*Radiators!F287,Calculations!$F$7*Radiators!F287))</f>
        <v>0</v>
      </c>
      <c r="Q287" s="37">
        <f t="shared" si="19"/>
        <v>0</v>
      </c>
    </row>
    <row r="288" spans="2:17">
      <c r="B288" s="33"/>
      <c r="C288" s="34"/>
      <c r="D288" s="34"/>
      <c r="E288" s="34"/>
      <c r="F288" s="34"/>
      <c r="G288" s="34"/>
      <c r="H288" s="34">
        <f>IFERROR(IF(B288="Column",INDEX(RadCompList!$C$4:$G$13,MATCH(C288,RadCompList!$B$4:$B$13),MATCH(Radiators!D288,RadCompList!$C$3:$G$3)),IF(B288="Tube",INDEX(RadCompList!$C$16:$I$22,MATCH(C288,RadCompList!$B$16:$B$22),MATCH(Radiators!D288,RadCompList!$C$15:$I$15)),IF(B288="Cast Rad/Conv",INDEX(RadCompList!$C$28:$D$28,MATCH(C288,RadCompList!$B$28),MATCH(Radiators!D288,RadCompList!$C$27:$D$27)),IF(B288="Copper Cabinet",(INDEX(RadCompList!$E$39:$J$78,MATCH(Radiators!D288,RadCompList!$D$39:$D$78,0),MATCH(C288,RadCompList!$E$38:$J$38,0))),0))))*E288,0)*$A$2</f>
        <v>0</v>
      </c>
      <c r="I288" s="34">
        <f t="shared" si="17"/>
        <v>0</v>
      </c>
      <c r="J288" s="35">
        <f>IFERROR(VLOOKUP(G288,VentList!$A$1:$D$198,2,FALSE),0)</f>
        <v>0</v>
      </c>
      <c r="K288" s="26">
        <f>IFERROR(VLOOKUP(B288,RadCompList!$P$3:$Q$6,2,FALSE)*H288,0)</f>
        <v>0</v>
      </c>
      <c r="L288" s="26" t="str">
        <f t="shared" si="20"/>
        <v>3/4</v>
      </c>
      <c r="M288" s="37">
        <f>Main!$G$8-0.0001306*N288^2 * F288*(1+3.6/VLOOKUP(L288,Calculations!$B$4:$F$15,2,FALSE))/(3600*Main!$C$7*VLOOKUP(L288,Calculations!$B$4:$F$15,2,FALSE)^5)</f>
        <v>0.14820436411902377</v>
      </c>
      <c r="N288" s="37">
        <f t="shared" si="18"/>
        <v>0</v>
      </c>
      <c r="O288" s="37">
        <f>IF(H288&lt;32,SteamProperties!$F$24*Radiators!F288,IF(H288&lt;56,SteamProperties!$F$25*Radiators!F288,SteamProperties!$F$26*Radiators!F288))</f>
        <v>0</v>
      </c>
      <c r="P288" s="37">
        <f>IF(H288&lt;32,Calculations!$F$5*Radiators!F288,IF(H288&lt;56,Calculations!$F$6*Radiators!F288,Calculations!$F$7*Radiators!F288))</f>
        <v>0</v>
      </c>
      <c r="Q288" s="37">
        <f t="shared" si="19"/>
        <v>0</v>
      </c>
    </row>
    <row r="289" spans="2:17">
      <c r="B289" s="33"/>
      <c r="C289" s="34"/>
      <c r="D289" s="34"/>
      <c r="E289" s="34"/>
      <c r="F289" s="34"/>
      <c r="G289" s="34"/>
      <c r="H289" s="34">
        <f>IFERROR(IF(B289="Column",INDEX(RadCompList!$C$4:$G$13,MATCH(C289,RadCompList!$B$4:$B$13),MATCH(Radiators!D289,RadCompList!$C$3:$G$3)),IF(B289="Tube",INDEX(RadCompList!$C$16:$I$22,MATCH(C289,RadCompList!$B$16:$B$22),MATCH(Radiators!D289,RadCompList!$C$15:$I$15)),IF(B289="Cast Rad/Conv",INDEX(RadCompList!$C$28:$D$28,MATCH(C289,RadCompList!$B$28),MATCH(Radiators!D289,RadCompList!$C$27:$D$27)),IF(B289="Copper Cabinet",(INDEX(RadCompList!$E$39:$J$78,MATCH(Radiators!D289,RadCompList!$D$39:$D$78,0),MATCH(C289,RadCompList!$E$38:$J$38,0))),0))))*E289,0)*$A$2</f>
        <v>0</v>
      </c>
      <c r="I289" s="34">
        <f t="shared" si="17"/>
        <v>0</v>
      </c>
      <c r="J289" s="35">
        <f>IFERROR(VLOOKUP(G289,VentList!$A$1:$D$198,2,FALSE),0)</f>
        <v>0</v>
      </c>
      <c r="K289" s="26">
        <f>IFERROR(VLOOKUP(B289,RadCompList!$P$3:$Q$6,2,FALSE)*H289,0)</f>
        <v>0</v>
      </c>
      <c r="L289" s="26" t="str">
        <f t="shared" si="20"/>
        <v>3/4</v>
      </c>
      <c r="M289" s="37">
        <f>Main!$G$8-0.0001306*N289^2 * F289*(1+3.6/VLOOKUP(L289,Calculations!$B$4:$F$15,2,FALSE))/(3600*Main!$C$7*VLOOKUP(L289,Calculations!$B$4:$F$15,2,FALSE)^5)</f>
        <v>0.14820436411902377</v>
      </c>
      <c r="N289" s="37">
        <f t="shared" si="18"/>
        <v>0</v>
      </c>
      <c r="O289" s="37">
        <f>IF(H289&lt;32,SteamProperties!$F$24*Radiators!F289,IF(H289&lt;56,SteamProperties!$F$25*Radiators!F289,SteamProperties!$F$26*Radiators!F289))</f>
        <v>0</v>
      </c>
      <c r="P289" s="37">
        <f>IF(H289&lt;32,Calculations!$F$5*Radiators!F289,IF(H289&lt;56,Calculations!$F$6*Radiators!F289,Calculations!$F$7*Radiators!F289))</f>
        <v>0</v>
      </c>
      <c r="Q289" s="37">
        <f t="shared" si="19"/>
        <v>0</v>
      </c>
    </row>
    <row r="290" spans="2:17">
      <c r="B290" s="33"/>
      <c r="C290" s="34"/>
      <c r="D290" s="34"/>
      <c r="E290" s="34"/>
      <c r="F290" s="34"/>
      <c r="G290" s="34"/>
      <c r="H290" s="34">
        <f>IFERROR(IF(B290="Column",INDEX(RadCompList!$C$4:$G$13,MATCH(C290,RadCompList!$B$4:$B$13),MATCH(Radiators!D290,RadCompList!$C$3:$G$3)),IF(B290="Tube",INDEX(RadCompList!$C$16:$I$22,MATCH(C290,RadCompList!$B$16:$B$22),MATCH(Radiators!D290,RadCompList!$C$15:$I$15)),IF(B290="Cast Rad/Conv",INDEX(RadCompList!$C$28:$D$28,MATCH(C290,RadCompList!$B$28),MATCH(Radiators!D290,RadCompList!$C$27:$D$27)),IF(B290="Copper Cabinet",(INDEX(RadCompList!$E$39:$J$78,MATCH(Radiators!D290,RadCompList!$D$39:$D$78,0),MATCH(C290,RadCompList!$E$38:$J$38,0))),0))))*E290,0)*$A$2</f>
        <v>0</v>
      </c>
      <c r="I290" s="34">
        <f t="shared" si="17"/>
        <v>0</v>
      </c>
      <c r="J290" s="35">
        <f>IFERROR(VLOOKUP(G290,VentList!$A$1:$D$198,2,FALSE),0)</f>
        <v>0</v>
      </c>
      <c r="K290" s="26">
        <f>IFERROR(VLOOKUP(B290,RadCompList!$P$3:$Q$6,2,FALSE)*H290,0)</f>
        <v>0</v>
      </c>
      <c r="L290" s="26" t="str">
        <f t="shared" si="20"/>
        <v>3/4</v>
      </c>
      <c r="M290" s="37">
        <f>Main!$G$8-0.0001306*N290^2 * F290*(1+3.6/VLOOKUP(L290,Calculations!$B$4:$F$15,2,FALSE))/(3600*Main!$C$7*VLOOKUP(L290,Calculations!$B$4:$F$15,2,FALSE)^5)</f>
        <v>0.14820436411902377</v>
      </c>
      <c r="N290" s="37">
        <f t="shared" si="18"/>
        <v>0</v>
      </c>
      <c r="O290" s="37">
        <f>IF(H290&lt;32,SteamProperties!$F$24*Radiators!F290,IF(H290&lt;56,SteamProperties!$F$25*Radiators!F290,SteamProperties!$F$26*Radiators!F290))</f>
        <v>0</v>
      </c>
      <c r="P290" s="37">
        <f>IF(H290&lt;32,Calculations!$F$5*Radiators!F290,IF(H290&lt;56,Calculations!$F$6*Radiators!F290,Calculations!$F$7*Radiators!F290))</f>
        <v>0</v>
      </c>
      <c r="Q290" s="37">
        <f t="shared" si="19"/>
        <v>0</v>
      </c>
    </row>
    <row r="291" spans="2:17">
      <c r="B291" s="33"/>
      <c r="C291" s="34"/>
      <c r="D291" s="34"/>
      <c r="E291" s="34"/>
      <c r="F291" s="34"/>
      <c r="G291" s="34"/>
      <c r="H291" s="34">
        <f>IFERROR(IF(B291="Column",INDEX(RadCompList!$C$4:$G$13,MATCH(C291,RadCompList!$B$4:$B$13),MATCH(Radiators!D291,RadCompList!$C$3:$G$3)),IF(B291="Tube",INDEX(RadCompList!$C$16:$I$22,MATCH(C291,RadCompList!$B$16:$B$22),MATCH(Radiators!D291,RadCompList!$C$15:$I$15)),IF(B291="Cast Rad/Conv",INDEX(RadCompList!$C$28:$D$28,MATCH(C291,RadCompList!$B$28),MATCH(Radiators!D291,RadCompList!$C$27:$D$27)),IF(B291="Copper Cabinet",(INDEX(RadCompList!$E$39:$J$78,MATCH(Radiators!D291,RadCompList!$D$39:$D$78,0),MATCH(C291,RadCompList!$E$38:$J$38,0))),0))))*E291,0)*$A$2</f>
        <v>0</v>
      </c>
      <c r="I291" s="34">
        <f t="shared" si="17"/>
        <v>0</v>
      </c>
      <c r="J291" s="35">
        <f>IFERROR(VLOOKUP(G291,VentList!$A$1:$D$198,2,FALSE),0)</f>
        <v>0</v>
      </c>
      <c r="K291" s="26">
        <f>IFERROR(VLOOKUP(B291,RadCompList!$P$3:$Q$6,2,FALSE)*H291,0)</f>
        <v>0</v>
      </c>
      <c r="L291" s="26" t="str">
        <f t="shared" si="20"/>
        <v>3/4</v>
      </c>
      <c r="M291" s="37">
        <f>Main!$G$8-0.0001306*N291^2 * F291*(1+3.6/VLOOKUP(L291,Calculations!$B$4:$F$15,2,FALSE))/(3600*Main!$C$7*VLOOKUP(L291,Calculations!$B$4:$F$15,2,FALSE)^5)</f>
        <v>0.14820436411902377</v>
      </c>
      <c r="N291" s="37">
        <f t="shared" si="18"/>
        <v>0</v>
      </c>
      <c r="O291" s="37">
        <f>IF(H291&lt;32,SteamProperties!$F$24*Radiators!F291,IF(H291&lt;56,SteamProperties!$F$25*Radiators!F291,SteamProperties!$F$26*Radiators!F291))</f>
        <v>0</v>
      </c>
      <c r="P291" s="37">
        <f>IF(H291&lt;32,Calculations!$F$5*Radiators!F291,IF(H291&lt;56,Calculations!$F$6*Radiators!F291,Calculations!$F$7*Radiators!F291))</f>
        <v>0</v>
      </c>
      <c r="Q291" s="37">
        <f t="shared" si="19"/>
        <v>0</v>
      </c>
    </row>
    <row r="292" spans="2:17">
      <c r="B292" s="33"/>
      <c r="C292" s="34"/>
      <c r="D292" s="34"/>
      <c r="E292" s="34"/>
      <c r="F292" s="34"/>
      <c r="G292" s="34"/>
      <c r="H292" s="34">
        <f>IFERROR(IF(B292="Column",INDEX(RadCompList!$C$4:$G$13,MATCH(C292,RadCompList!$B$4:$B$13),MATCH(Radiators!D292,RadCompList!$C$3:$G$3)),IF(B292="Tube",INDEX(RadCompList!$C$16:$I$22,MATCH(C292,RadCompList!$B$16:$B$22),MATCH(Radiators!D292,RadCompList!$C$15:$I$15)),IF(B292="Cast Rad/Conv",INDEX(RadCompList!$C$28:$D$28,MATCH(C292,RadCompList!$B$28),MATCH(Radiators!D292,RadCompList!$C$27:$D$27)),IF(B292="Copper Cabinet",(INDEX(RadCompList!$E$39:$J$78,MATCH(Radiators!D292,RadCompList!$D$39:$D$78,0),MATCH(C292,RadCompList!$E$38:$J$38,0))),0))))*E292,0)*$A$2</f>
        <v>0</v>
      </c>
      <c r="I292" s="34">
        <f t="shared" si="17"/>
        <v>0</v>
      </c>
      <c r="J292" s="35">
        <f>IFERROR(VLOOKUP(G292,VentList!$A$1:$D$198,2,FALSE),0)</f>
        <v>0</v>
      </c>
      <c r="K292" s="26">
        <f>IFERROR(VLOOKUP(B292,RadCompList!$P$3:$Q$6,2,FALSE)*H292,0)</f>
        <v>0</v>
      </c>
      <c r="L292" s="26" t="str">
        <f t="shared" si="20"/>
        <v>3/4</v>
      </c>
      <c r="M292" s="37">
        <f>Main!$G$8-0.0001306*N292^2 * F292*(1+3.6/VLOOKUP(L292,Calculations!$B$4:$F$15,2,FALSE))/(3600*Main!$C$7*VLOOKUP(L292,Calculations!$B$4:$F$15,2,FALSE)^5)</f>
        <v>0.14820436411902377</v>
      </c>
      <c r="N292" s="37">
        <f t="shared" si="18"/>
        <v>0</v>
      </c>
      <c r="O292" s="37">
        <f>IF(H292&lt;32,SteamProperties!$F$24*Radiators!F292,IF(H292&lt;56,SteamProperties!$F$25*Radiators!F292,SteamProperties!$F$26*Radiators!F292))</f>
        <v>0</v>
      </c>
      <c r="P292" s="37">
        <f>IF(H292&lt;32,Calculations!$F$5*Radiators!F292,IF(H292&lt;56,Calculations!$F$6*Radiators!F292,Calculations!$F$7*Radiators!F292))</f>
        <v>0</v>
      </c>
      <c r="Q292" s="37">
        <f t="shared" si="19"/>
        <v>0</v>
      </c>
    </row>
    <row r="293" spans="2:17">
      <c r="B293" s="33"/>
      <c r="C293" s="34"/>
      <c r="D293" s="34"/>
      <c r="E293" s="34"/>
      <c r="F293" s="34"/>
      <c r="G293" s="34"/>
      <c r="H293" s="34">
        <f>IFERROR(IF(B293="Column",INDEX(RadCompList!$C$4:$G$13,MATCH(C293,RadCompList!$B$4:$B$13),MATCH(Radiators!D293,RadCompList!$C$3:$G$3)),IF(B293="Tube",INDEX(RadCompList!$C$16:$I$22,MATCH(C293,RadCompList!$B$16:$B$22),MATCH(Radiators!D293,RadCompList!$C$15:$I$15)),IF(B293="Cast Rad/Conv",INDEX(RadCompList!$C$28:$D$28,MATCH(C293,RadCompList!$B$28),MATCH(Radiators!D293,RadCompList!$C$27:$D$27)),IF(B293="Copper Cabinet",(INDEX(RadCompList!$E$39:$J$78,MATCH(Radiators!D293,RadCompList!$D$39:$D$78,0),MATCH(C293,RadCompList!$E$38:$J$38,0))),0))))*E293,0)*$A$2</f>
        <v>0</v>
      </c>
      <c r="I293" s="34">
        <f t="shared" si="17"/>
        <v>0</v>
      </c>
      <c r="J293" s="35">
        <f>IFERROR(VLOOKUP(G293,VentList!$A$1:$D$198,2,FALSE),0)</f>
        <v>0</v>
      </c>
      <c r="K293" s="26">
        <f>IFERROR(VLOOKUP(B293,RadCompList!$P$3:$Q$6,2,FALSE)*H293,0)</f>
        <v>0</v>
      </c>
      <c r="L293" s="26" t="str">
        <f t="shared" si="20"/>
        <v>3/4</v>
      </c>
      <c r="M293" s="37">
        <f>Main!$G$8-0.0001306*N293^2 * F293*(1+3.6/VLOOKUP(L293,Calculations!$B$4:$F$15,2,FALSE))/(3600*Main!$C$7*VLOOKUP(L293,Calculations!$B$4:$F$15,2,FALSE)^5)</f>
        <v>0.14820436411902377</v>
      </c>
      <c r="N293" s="37">
        <f t="shared" si="18"/>
        <v>0</v>
      </c>
      <c r="O293" s="37">
        <f>IF(H293&lt;32,SteamProperties!$F$24*Radiators!F293,IF(H293&lt;56,SteamProperties!$F$25*Radiators!F293,SteamProperties!$F$26*Radiators!F293))</f>
        <v>0</v>
      </c>
      <c r="P293" s="37">
        <f>IF(H293&lt;32,Calculations!$F$5*Radiators!F293,IF(H293&lt;56,Calculations!$F$6*Radiators!F293,Calculations!$F$7*Radiators!F293))</f>
        <v>0</v>
      </c>
      <c r="Q293" s="37">
        <f t="shared" si="19"/>
        <v>0</v>
      </c>
    </row>
    <row r="294" spans="2:17">
      <c r="B294" s="33"/>
      <c r="C294" s="34"/>
      <c r="D294" s="34"/>
      <c r="E294" s="34"/>
      <c r="F294" s="34"/>
      <c r="G294" s="34"/>
      <c r="H294" s="34">
        <f>IFERROR(IF(B294="Column",INDEX(RadCompList!$C$4:$G$13,MATCH(C294,RadCompList!$B$4:$B$13),MATCH(Radiators!D294,RadCompList!$C$3:$G$3)),IF(B294="Tube",INDEX(RadCompList!$C$16:$I$22,MATCH(C294,RadCompList!$B$16:$B$22),MATCH(Radiators!D294,RadCompList!$C$15:$I$15)),IF(B294="Cast Rad/Conv",INDEX(RadCompList!$C$28:$D$28,MATCH(C294,RadCompList!$B$28),MATCH(Radiators!D294,RadCompList!$C$27:$D$27)),IF(B294="Copper Cabinet",(INDEX(RadCompList!$E$39:$J$78,MATCH(Radiators!D294,RadCompList!$D$39:$D$78,0),MATCH(C294,RadCompList!$E$38:$J$38,0))),0))))*E294,0)*$A$2</f>
        <v>0</v>
      </c>
      <c r="I294" s="34">
        <f t="shared" si="17"/>
        <v>0</v>
      </c>
      <c r="J294" s="35">
        <f>IFERROR(VLOOKUP(G294,VentList!$A$1:$D$198,2,FALSE),0)</f>
        <v>0</v>
      </c>
      <c r="K294" s="26">
        <f>IFERROR(VLOOKUP(B294,RadCompList!$P$3:$Q$6,2,FALSE)*H294,0)</f>
        <v>0</v>
      </c>
      <c r="L294" s="26" t="str">
        <f t="shared" si="20"/>
        <v>3/4</v>
      </c>
      <c r="M294" s="37">
        <f>Main!$G$8-0.0001306*N294^2 * F294*(1+3.6/VLOOKUP(L294,Calculations!$B$4:$F$15,2,FALSE))/(3600*Main!$C$7*VLOOKUP(L294,Calculations!$B$4:$F$15,2,FALSE)^5)</f>
        <v>0.14820436411902377</v>
      </c>
      <c r="N294" s="37">
        <f t="shared" si="18"/>
        <v>0</v>
      </c>
      <c r="O294" s="37">
        <f>IF(H294&lt;32,SteamProperties!$F$24*Radiators!F294,IF(H294&lt;56,SteamProperties!$F$25*Radiators!F294,SteamProperties!$F$26*Radiators!F294))</f>
        <v>0</v>
      </c>
      <c r="P294" s="37">
        <f>IF(H294&lt;32,Calculations!$F$5*Radiators!F294,IF(H294&lt;56,Calculations!$F$6*Radiators!F294,Calculations!$F$7*Radiators!F294))</f>
        <v>0</v>
      </c>
      <c r="Q294" s="37">
        <f t="shared" si="19"/>
        <v>0</v>
      </c>
    </row>
    <row r="295" spans="2:17">
      <c r="B295" s="33"/>
      <c r="C295" s="34"/>
      <c r="D295" s="34"/>
      <c r="E295" s="34"/>
      <c r="F295" s="34"/>
      <c r="G295" s="34"/>
      <c r="H295" s="34">
        <f>IFERROR(IF(B295="Column",INDEX(RadCompList!$C$4:$G$13,MATCH(C295,RadCompList!$B$4:$B$13),MATCH(Radiators!D295,RadCompList!$C$3:$G$3)),IF(B295="Tube",INDEX(RadCompList!$C$16:$I$22,MATCH(C295,RadCompList!$B$16:$B$22),MATCH(Radiators!D295,RadCompList!$C$15:$I$15)),IF(B295="Cast Rad/Conv",INDEX(RadCompList!$C$28:$D$28,MATCH(C295,RadCompList!$B$28),MATCH(Radiators!D295,RadCompList!$C$27:$D$27)),IF(B295="Copper Cabinet",(INDEX(RadCompList!$E$39:$J$78,MATCH(Radiators!D295,RadCompList!$D$39:$D$78,0),MATCH(C295,RadCompList!$E$38:$J$38,0))),0))))*E295,0)*$A$2</f>
        <v>0</v>
      </c>
      <c r="I295" s="34">
        <f t="shared" si="17"/>
        <v>0</v>
      </c>
      <c r="J295" s="35">
        <f>IFERROR(VLOOKUP(G295,VentList!$A$1:$D$198,2,FALSE),0)</f>
        <v>0</v>
      </c>
      <c r="K295" s="26">
        <f>IFERROR(VLOOKUP(B295,RadCompList!$P$3:$Q$6,2,FALSE)*H295,0)</f>
        <v>0</v>
      </c>
      <c r="L295" s="26" t="str">
        <f t="shared" si="20"/>
        <v>3/4</v>
      </c>
      <c r="M295" s="37">
        <f>Main!$G$8-0.0001306*N295^2 * F295*(1+3.6/VLOOKUP(L295,Calculations!$B$4:$F$15,2,FALSE))/(3600*Main!$C$7*VLOOKUP(L295,Calculations!$B$4:$F$15,2,FALSE)^5)</f>
        <v>0.14820436411902377</v>
      </c>
      <c r="N295" s="37">
        <f t="shared" si="18"/>
        <v>0</v>
      </c>
      <c r="O295" s="37">
        <f>IF(H295&lt;32,SteamProperties!$F$24*Radiators!F295,IF(H295&lt;56,SteamProperties!$F$25*Radiators!F295,SteamProperties!$F$26*Radiators!F295))</f>
        <v>0</v>
      </c>
      <c r="P295" s="37">
        <f>IF(H295&lt;32,Calculations!$F$5*Radiators!F295,IF(H295&lt;56,Calculations!$F$6*Radiators!F295,Calculations!$F$7*Radiators!F295))</f>
        <v>0</v>
      </c>
      <c r="Q295" s="37">
        <f t="shared" si="19"/>
        <v>0</v>
      </c>
    </row>
    <row r="296" spans="2:17">
      <c r="B296" s="33"/>
      <c r="C296" s="34"/>
      <c r="D296" s="34"/>
      <c r="E296" s="34"/>
      <c r="F296" s="34"/>
      <c r="G296" s="34"/>
      <c r="H296" s="34">
        <f>IFERROR(IF(B296="Column",INDEX(RadCompList!$C$4:$G$13,MATCH(C296,RadCompList!$B$4:$B$13),MATCH(Radiators!D296,RadCompList!$C$3:$G$3)),IF(B296="Tube",INDEX(RadCompList!$C$16:$I$22,MATCH(C296,RadCompList!$B$16:$B$22),MATCH(Radiators!D296,RadCompList!$C$15:$I$15)),IF(B296="Cast Rad/Conv",INDEX(RadCompList!$C$28:$D$28,MATCH(C296,RadCompList!$B$28),MATCH(Radiators!D296,RadCompList!$C$27:$D$27)),IF(B296="Copper Cabinet",(INDEX(RadCompList!$E$39:$J$78,MATCH(Radiators!D296,RadCompList!$D$39:$D$78,0),MATCH(C296,RadCompList!$E$38:$J$38,0))),0))))*E296,0)*$A$2</f>
        <v>0</v>
      </c>
      <c r="I296" s="34">
        <f t="shared" si="17"/>
        <v>0</v>
      </c>
      <c r="J296" s="35">
        <f>IFERROR(VLOOKUP(G296,VentList!$A$1:$D$198,2,FALSE),0)</f>
        <v>0</v>
      </c>
      <c r="K296" s="26">
        <f>IFERROR(VLOOKUP(B296,RadCompList!$P$3:$Q$6,2,FALSE)*H296,0)</f>
        <v>0</v>
      </c>
      <c r="L296" s="26" t="str">
        <f t="shared" si="20"/>
        <v>3/4</v>
      </c>
      <c r="M296" s="37">
        <f>Main!$G$8-0.0001306*N296^2 * F296*(1+3.6/VLOOKUP(L296,Calculations!$B$4:$F$15,2,FALSE))/(3600*Main!$C$7*VLOOKUP(L296,Calculations!$B$4:$F$15,2,FALSE)^5)</f>
        <v>0.14820436411902377</v>
      </c>
      <c r="N296" s="37">
        <f t="shared" si="18"/>
        <v>0</v>
      </c>
      <c r="O296" s="37">
        <f>IF(H296&lt;32,SteamProperties!$F$24*Radiators!F296,IF(H296&lt;56,SteamProperties!$F$25*Radiators!F296,SteamProperties!$F$26*Radiators!F296))</f>
        <v>0</v>
      </c>
      <c r="P296" s="37">
        <f>IF(H296&lt;32,Calculations!$F$5*Radiators!F296,IF(H296&lt;56,Calculations!$F$6*Radiators!F296,Calculations!$F$7*Radiators!F296))</f>
        <v>0</v>
      </c>
      <c r="Q296" s="37">
        <f t="shared" si="19"/>
        <v>0</v>
      </c>
    </row>
    <row r="297" spans="2:17">
      <c r="B297" s="33"/>
      <c r="C297" s="34"/>
      <c r="D297" s="34"/>
      <c r="E297" s="34"/>
      <c r="F297" s="34"/>
      <c r="G297" s="34"/>
      <c r="H297" s="34">
        <f>IFERROR(IF(B297="Column",INDEX(RadCompList!$C$4:$G$13,MATCH(C297,RadCompList!$B$4:$B$13),MATCH(Radiators!D297,RadCompList!$C$3:$G$3)),IF(B297="Tube",INDEX(RadCompList!$C$16:$I$22,MATCH(C297,RadCompList!$B$16:$B$22),MATCH(Radiators!D297,RadCompList!$C$15:$I$15)),IF(B297="Cast Rad/Conv",INDEX(RadCompList!$C$28:$D$28,MATCH(C297,RadCompList!$B$28),MATCH(Radiators!D297,RadCompList!$C$27:$D$27)),IF(B297="Copper Cabinet",(INDEX(RadCompList!$E$39:$J$78,MATCH(Radiators!D297,RadCompList!$D$39:$D$78,0),MATCH(C297,RadCompList!$E$38:$J$38,0))),0))))*E297,0)*$A$2</f>
        <v>0</v>
      </c>
      <c r="I297" s="34">
        <f t="shared" si="17"/>
        <v>0</v>
      </c>
      <c r="J297" s="35">
        <f>IFERROR(VLOOKUP(G297,VentList!$A$1:$D$198,2,FALSE),0)</f>
        <v>0</v>
      </c>
      <c r="K297" s="26">
        <f>IFERROR(VLOOKUP(B297,RadCompList!$P$3:$Q$6,2,FALSE)*H297,0)</f>
        <v>0</v>
      </c>
      <c r="L297" s="26" t="str">
        <f t="shared" si="20"/>
        <v>3/4</v>
      </c>
      <c r="M297" s="37">
        <f>Main!$G$8-0.0001306*N297^2 * F297*(1+3.6/VLOOKUP(L297,Calculations!$B$4:$F$15,2,FALSE))/(3600*Main!$C$7*VLOOKUP(L297,Calculations!$B$4:$F$15,2,FALSE)^5)</f>
        <v>0.14820436411902377</v>
      </c>
      <c r="N297" s="37">
        <f t="shared" si="18"/>
        <v>0</v>
      </c>
      <c r="O297" s="37">
        <f>IF(H297&lt;32,SteamProperties!$F$24*Radiators!F297,IF(H297&lt;56,SteamProperties!$F$25*Radiators!F297,SteamProperties!$F$26*Radiators!F297))</f>
        <v>0</v>
      </c>
      <c r="P297" s="37">
        <f>IF(H297&lt;32,Calculations!$F$5*Radiators!F297,IF(H297&lt;56,Calculations!$F$6*Radiators!F297,Calculations!$F$7*Radiators!F297))</f>
        <v>0</v>
      </c>
      <c r="Q297" s="37">
        <f t="shared" si="19"/>
        <v>0</v>
      </c>
    </row>
    <row r="298" spans="2:17">
      <c r="B298" s="33"/>
      <c r="C298" s="34"/>
      <c r="D298" s="34"/>
      <c r="E298" s="34"/>
      <c r="F298" s="34"/>
      <c r="G298" s="34"/>
      <c r="H298" s="34">
        <f>IFERROR(IF(B298="Column",INDEX(RadCompList!$C$4:$G$13,MATCH(C298,RadCompList!$B$4:$B$13),MATCH(Radiators!D298,RadCompList!$C$3:$G$3)),IF(B298="Tube",INDEX(RadCompList!$C$16:$I$22,MATCH(C298,RadCompList!$B$16:$B$22),MATCH(Radiators!D298,RadCompList!$C$15:$I$15)),IF(B298="Cast Rad/Conv",INDEX(RadCompList!$C$28:$D$28,MATCH(C298,RadCompList!$B$28),MATCH(Radiators!D298,RadCompList!$C$27:$D$27)),IF(B298="Copper Cabinet",(INDEX(RadCompList!$E$39:$J$78,MATCH(Radiators!D298,RadCompList!$D$39:$D$78,0),MATCH(C298,RadCompList!$E$38:$J$38,0))),0))))*E298,0)*$A$2</f>
        <v>0</v>
      </c>
      <c r="I298" s="34">
        <f t="shared" si="17"/>
        <v>0</v>
      </c>
      <c r="J298" s="35">
        <f>IFERROR(VLOOKUP(G298,VentList!$A$1:$D$198,2,FALSE),0)</f>
        <v>0</v>
      </c>
      <c r="K298" s="26">
        <f>IFERROR(VLOOKUP(B298,RadCompList!$P$3:$Q$6,2,FALSE)*H298,0)</f>
        <v>0</v>
      </c>
      <c r="L298" s="26" t="str">
        <f t="shared" si="20"/>
        <v>3/4</v>
      </c>
      <c r="M298" s="37">
        <f>Main!$G$8-0.0001306*N298^2 * F298*(1+3.6/VLOOKUP(L298,Calculations!$B$4:$F$15,2,FALSE))/(3600*Main!$C$7*VLOOKUP(L298,Calculations!$B$4:$F$15,2,FALSE)^5)</f>
        <v>0.14820436411902377</v>
      </c>
      <c r="N298" s="37">
        <f t="shared" si="18"/>
        <v>0</v>
      </c>
      <c r="O298" s="37">
        <f>IF(H298&lt;32,SteamProperties!$F$24*Radiators!F298,IF(H298&lt;56,SteamProperties!$F$25*Radiators!F298,SteamProperties!$F$26*Radiators!F298))</f>
        <v>0</v>
      </c>
      <c r="P298" s="37">
        <f>IF(H298&lt;32,Calculations!$F$5*Radiators!F298,IF(H298&lt;56,Calculations!$F$6*Radiators!F298,Calculations!$F$7*Radiators!F298))</f>
        <v>0</v>
      </c>
      <c r="Q298" s="37">
        <f t="shared" si="19"/>
        <v>0</v>
      </c>
    </row>
    <row r="299" spans="2:17">
      <c r="B299" s="33"/>
      <c r="C299" s="34"/>
      <c r="D299" s="34"/>
      <c r="E299" s="34"/>
      <c r="F299" s="34"/>
      <c r="G299" s="34"/>
      <c r="H299" s="34">
        <f>IFERROR(IF(B299="Column",INDEX(RadCompList!$C$4:$G$13,MATCH(C299,RadCompList!$B$4:$B$13),MATCH(Radiators!D299,RadCompList!$C$3:$G$3)),IF(B299="Tube",INDEX(RadCompList!$C$16:$I$22,MATCH(C299,RadCompList!$B$16:$B$22),MATCH(Radiators!D299,RadCompList!$C$15:$I$15)),IF(B299="Cast Rad/Conv",INDEX(RadCompList!$C$28:$D$28,MATCH(C299,RadCompList!$B$28),MATCH(Radiators!D299,RadCompList!$C$27:$D$27)),IF(B299="Copper Cabinet",(INDEX(RadCompList!$E$39:$J$78,MATCH(Radiators!D299,RadCompList!$D$39:$D$78,0),MATCH(C299,RadCompList!$E$38:$J$38,0))),0))))*E299,0)*$A$2</f>
        <v>0</v>
      </c>
      <c r="I299" s="34">
        <f t="shared" si="17"/>
        <v>0</v>
      </c>
      <c r="J299" s="35">
        <f>IFERROR(VLOOKUP(G299,VentList!$A$1:$D$198,2,FALSE),0)</f>
        <v>0</v>
      </c>
      <c r="K299" s="26">
        <f>IFERROR(VLOOKUP(B299,RadCompList!$P$3:$Q$6,2,FALSE)*H299,0)</f>
        <v>0</v>
      </c>
      <c r="L299" s="26" t="str">
        <f t="shared" si="20"/>
        <v>3/4</v>
      </c>
      <c r="M299" s="37">
        <f>Main!$G$8-0.0001306*N299^2 * F299*(1+3.6/VLOOKUP(L299,Calculations!$B$4:$F$15,2,FALSE))/(3600*Main!$C$7*VLOOKUP(L299,Calculations!$B$4:$F$15,2,FALSE)^5)</f>
        <v>0.14820436411902377</v>
      </c>
      <c r="N299" s="37">
        <f t="shared" si="18"/>
        <v>0</v>
      </c>
      <c r="O299" s="37">
        <f>IF(H299&lt;32,SteamProperties!$F$24*Radiators!F299,IF(H299&lt;56,SteamProperties!$F$25*Radiators!F299,SteamProperties!$F$26*Radiators!F299))</f>
        <v>0</v>
      </c>
      <c r="P299" s="37">
        <f>IF(H299&lt;32,Calculations!$F$5*Radiators!F299,IF(H299&lt;56,Calculations!$F$6*Radiators!F299,Calculations!$F$7*Radiators!F299))</f>
        <v>0</v>
      </c>
      <c r="Q299" s="37">
        <f t="shared" si="19"/>
        <v>0</v>
      </c>
    </row>
    <row r="300" spans="2:17">
      <c r="B300" s="33"/>
      <c r="C300" s="34"/>
      <c r="D300" s="34"/>
      <c r="E300" s="34"/>
      <c r="F300" s="34"/>
      <c r="G300" s="34"/>
      <c r="H300" s="34">
        <f>IFERROR(IF(B300="Column",INDEX(RadCompList!$C$4:$G$13,MATCH(C300,RadCompList!$B$4:$B$13),MATCH(Radiators!D300,RadCompList!$C$3:$G$3)),IF(B300="Tube",INDEX(RadCompList!$C$16:$I$22,MATCH(C300,RadCompList!$B$16:$B$22),MATCH(Radiators!D300,RadCompList!$C$15:$I$15)),IF(B300="Cast Rad/Conv",INDEX(RadCompList!$C$28:$D$28,MATCH(C300,RadCompList!$B$28),MATCH(Radiators!D300,RadCompList!$C$27:$D$27)),IF(B300="Copper Cabinet",(INDEX(RadCompList!$E$39:$J$78,MATCH(Radiators!D300,RadCompList!$D$39:$D$78,0),MATCH(C300,RadCompList!$E$38:$J$38,0))),0))))*E300,0)*$A$2</f>
        <v>0</v>
      </c>
      <c r="I300" s="34">
        <f t="shared" si="17"/>
        <v>0</v>
      </c>
      <c r="J300" s="35">
        <f>IFERROR(VLOOKUP(G300,VentList!$A$1:$D$198,2,FALSE),0)</f>
        <v>0</v>
      </c>
      <c r="K300" s="26">
        <f>IFERROR(VLOOKUP(B300,RadCompList!$P$3:$Q$6,2,FALSE)*H300,0)</f>
        <v>0</v>
      </c>
      <c r="L300" s="26" t="str">
        <f t="shared" si="20"/>
        <v>3/4</v>
      </c>
      <c r="M300" s="37">
        <f>Main!$G$8-0.0001306*N300^2 * F300*(1+3.6/VLOOKUP(L300,Calculations!$B$4:$F$15,2,FALSE))/(3600*Main!$C$7*VLOOKUP(L300,Calculations!$B$4:$F$15,2,FALSE)^5)</f>
        <v>0.14820436411902377</v>
      </c>
      <c r="N300" s="37">
        <f t="shared" si="18"/>
        <v>0</v>
      </c>
      <c r="O300" s="37">
        <f>IF(H300&lt;32,SteamProperties!$F$24*Radiators!F300,IF(H300&lt;56,SteamProperties!$F$25*Radiators!F300,SteamProperties!$F$26*Radiators!F300))</f>
        <v>0</v>
      </c>
      <c r="P300" s="37">
        <f>IF(H300&lt;32,Calculations!$F$5*Radiators!F300,IF(H300&lt;56,Calculations!$F$6*Radiators!F300,Calculations!$F$7*Radiators!F300))</f>
        <v>0</v>
      </c>
      <c r="Q300" s="37">
        <f t="shared" si="19"/>
        <v>0</v>
      </c>
    </row>
    <row r="301" spans="2:17">
      <c r="B301" s="33"/>
      <c r="C301" s="34"/>
      <c r="D301" s="34"/>
      <c r="E301" s="34"/>
      <c r="F301" s="34"/>
      <c r="G301" s="34"/>
      <c r="H301" s="34">
        <f>IFERROR(IF(B301="Column",INDEX(RadCompList!$C$4:$G$13,MATCH(C301,RadCompList!$B$4:$B$13),MATCH(Radiators!D301,RadCompList!$C$3:$G$3)),IF(B301="Tube",INDEX(RadCompList!$C$16:$I$22,MATCH(C301,RadCompList!$B$16:$B$22),MATCH(Radiators!D301,RadCompList!$C$15:$I$15)),IF(B301="Cast Rad/Conv",INDEX(RadCompList!$C$28:$D$28,MATCH(C301,RadCompList!$B$28),MATCH(Radiators!D301,RadCompList!$C$27:$D$27)),IF(B301="Copper Cabinet",(INDEX(RadCompList!$E$39:$J$78,MATCH(Radiators!D301,RadCompList!$D$39:$D$78,0),MATCH(C301,RadCompList!$E$38:$J$38,0))),0))))*E301,0)*$A$2</f>
        <v>0</v>
      </c>
      <c r="I301" s="34">
        <f t="shared" si="17"/>
        <v>0</v>
      </c>
      <c r="J301" s="35">
        <f>IFERROR(VLOOKUP(G301,VentList!$A$1:$D$198,2,FALSE),0)</f>
        <v>0</v>
      </c>
      <c r="K301" s="26">
        <f>IFERROR(VLOOKUP(B301,RadCompList!$P$3:$Q$6,2,FALSE)*H301,0)</f>
        <v>0</v>
      </c>
      <c r="L301" s="26" t="str">
        <f t="shared" si="20"/>
        <v>3/4</v>
      </c>
      <c r="M301" s="37">
        <f>Main!$G$8-0.0001306*N301^2 * F301*(1+3.6/VLOOKUP(L301,Calculations!$B$4:$F$15,2,FALSE))/(3600*Main!$C$7*VLOOKUP(L301,Calculations!$B$4:$F$15,2,FALSE)^5)</f>
        <v>0.14820436411902377</v>
      </c>
      <c r="N301" s="37">
        <f t="shared" si="18"/>
        <v>0</v>
      </c>
      <c r="O301" s="37">
        <f>IF(H301&lt;32,SteamProperties!$F$24*Radiators!F301,IF(H301&lt;56,SteamProperties!$F$25*Radiators!F301,SteamProperties!$F$26*Radiators!F301))</f>
        <v>0</v>
      </c>
      <c r="P301" s="37">
        <f>IF(H301&lt;32,Calculations!$F$5*Radiators!F301,IF(H301&lt;56,Calculations!$F$6*Radiators!F301,Calculations!$F$7*Radiators!F301))</f>
        <v>0</v>
      </c>
      <c r="Q301" s="37">
        <f t="shared" si="19"/>
        <v>0</v>
      </c>
    </row>
    <row r="302" spans="2:17">
      <c r="B302" s="33"/>
      <c r="C302" s="34"/>
      <c r="D302" s="34"/>
      <c r="E302" s="34"/>
      <c r="F302" s="34"/>
      <c r="G302" s="34"/>
      <c r="H302" s="34">
        <f>IFERROR(IF(B302="Column",INDEX(RadCompList!$C$4:$G$13,MATCH(C302,RadCompList!$B$4:$B$13),MATCH(Radiators!D302,RadCompList!$C$3:$G$3)),IF(B302="Tube",INDEX(RadCompList!$C$16:$I$22,MATCH(C302,RadCompList!$B$16:$B$22),MATCH(Radiators!D302,RadCompList!$C$15:$I$15)),IF(B302="Cast Rad/Conv",INDEX(RadCompList!$C$28:$D$28,MATCH(C302,RadCompList!$B$28),MATCH(Radiators!D302,RadCompList!$C$27:$D$27)),IF(B302="Copper Cabinet",(INDEX(RadCompList!$E$39:$J$78,MATCH(Radiators!D302,RadCompList!$D$39:$D$78,0),MATCH(C302,RadCompList!$E$38:$J$38,0))),0))))*E302,0)*$A$2</f>
        <v>0</v>
      </c>
      <c r="I302" s="34">
        <f t="shared" si="17"/>
        <v>0</v>
      </c>
      <c r="J302" s="35">
        <f>IFERROR(VLOOKUP(G302,VentList!$A$1:$D$198,2,FALSE),0)</f>
        <v>0</v>
      </c>
      <c r="K302" s="26">
        <f>IFERROR(VLOOKUP(B302,RadCompList!$P$3:$Q$6,2,FALSE)*H302,0)</f>
        <v>0</v>
      </c>
      <c r="L302" s="26" t="str">
        <f t="shared" si="20"/>
        <v>3/4</v>
      </c>
      <c r="M302" s="37">
        <f>Main!$G$8-0.0001306*N302^2 * F302*(1+3.6/VLOOKUP(L302,Calculations!$B$4:$F$15,2,FALSE))/(3600*Main!$C$7*VLOOKUP(L302,Calculations!$B$4:$F$15,2,FALSE)^5)</f>
        <v>0.14820436411902377</v>
      </c>
      <c r="N302" s="37">
        <f t="shared" si="18"/>
        <v>0</v>
      </c>
      <c r="O302" s="37">
        <f>IF(H302&lt;32,SteamProperties!$F$24*Radiators!F302,IF(H302&lt;56,SteamProperties!$F$25*Radiators!F302,SteamProperties!$F$26*Radiators!F302))</f>
        <v>0</v>
      </c>
      <c r="P302" s="37">
        <f>IF(H302&lt;32,Calculations!$F$5*Radiators!F302,IF(H302&lt;56,Calculations!$F$6*Radiators!F302,Calculations!$F$7*Radiators!F302))</f>
        <v>0</v>
      </c>
      <c r="Q302" s="37">
        <f t="shared" si="19"/>
        <v>0</v>
      </c>
    </row>
    <row r="303" spans="2:17">
      <c r="B303" s="33"/>
      <c r="C303" s="34"/>
      <c r="D303" s="34"/>
      <c r="E303" s="34"/>
      <c r="F303" s="34"/>
      <c r="G303" s="34"/>
      <c r="H303" s="34">
        <f>IFERROR(IF(B303="Column",INDEX(RadCompList!$C$4:$G$13,MATCH(C303,RadCompList!$B$4:$B$13),MATCH(Radiators!D303,RadCompList!$C$3:$G$3)),IF(B303="Tube",INDEX(RadCompList!$C$16:$I$22,MATCH(C303,RadCompList!$B$16:$B$22),MATCH(Radiators!D303,RadCompList!$C$15:$I$15)),IF(B303="Cast Rad/Conv",INDEX(RadCompList!$C$28:$D$28,MATCH(C303,RadCompList!$B$28),MATCH(Radiators!D303,RadCompList!$C$27:$D$27)),IF(B303="Copper Cabinet",(INDEX(RadCompList!$E$39:$J$78,MATCH(Radiators!D303,RadCompList!$D$39:$D$78,0),MATCH(C303,RadCompList!$E$38:$J$38,0))),0))))*E303,0)*$A$2</f>
        <v>0</v>
      </c>
      <c r="I303" s="34">
        <f t="shared" si="17"/>
        <v>0</v>
      </c>
      <c r="J303" s="35">
        <f>IFERROR(VLOOKUP(G303,VentList!$A$1:$D$198,2,FALSE),0)</f>
        <v>0</v>
      </c>
      <c r="K303" s="26">
        <f>IFERROR(VLOOKUP(B303,RadCompList!$P$3:$Q$6,2,FALSE)*H303,0)</f>
        <v>0</v>
      </c>
      <c r="L303" s="26" t="str">
        <f t="shared" si="20"/>
        <v>3/4</v>
      </c>
      <c r="M303" s="37">
        <f>Main!$G$8-0.0001306*N303^2 * F303*(1+3.6/VLOOKUP(L303,Calculations!$B$4:$F$15,2,FALSE))/(3600*Main!$C$7*VLOOKUP(L303,Calculations!$B$4:$F$15,2,FALSE)^5)</f>
        <v>0.14820436411902377</v>
      </c>
      <c r="N303" s="37">
        <f t="shared" si="18"/>
        <v>0</v>
      </c>
      <c r="O303" s="37">
        <f>IF(H303&lt;32,SteamProperties!$F$24*Radiators!F303,IF(H303&lt;56,SteamProperties!$F$25*Radiators!F303,SteamProperties!$F$26*Radiators!F303))</f>
        <v>0</v>
      </c>
      <c r="P303" s="37">
        <f>IF(H303&lt;32,Calculations!$F$5*Radiators!F303,IF(H303&lt;56,Calculations!$F$6*Radiators!F303,Calculations!$F$7*Radiators!F303))</f>
        <v>0</v>
      </c>
      <c r="Q303" s="37">
        <f t="shared" si="19"/>
        <v>0</v>
      </c>
    </row>
    <row r="304" spans="2:17">
      <c r="B304" s="33"/>
      <c r="C304" s="34"/>
      <c r="D304" s="34"/>
      <c r="E304" s="34"/>
      <c r="F304" s="34"/>
      <c r="G304" s="34"/>
      <c r="H304" s="34">
        <f>IFERROR(IF(B304="Column",INDEX(RadCompList!$C$4:$G$13,MATCH(C304,RadCompList!$B$4:$B$13),MATCH(Radiators!D304,RadCompList!$C$3:$G$3)),IF(B304="Tube",INDEX(RadCompList!$C$16:$I$22,MATCH(C304,RadCompList!$B$16:$B$22),MATCH(Radiators!D304,RadCompList!$C$15:$I$15)),IF(B304="Cast Rad/Conv",INDEX(RadCompList!$C$28:$D$28,MATCH(C304,RadCompList!$B$28),MATCH(Radiators!D304,RadCompList!$C$27:$D$27)),IF(B304="Copper Cabinet",(INDEX(RadCompList!$E$39:$J$78,MATCH(Radiators!D304,RadCompList!$D$39:$D$78,0),MATCH(C304,RadCompList!$E$38:$J$38,0))),0))))*E304,0)*$A$2</f>
        <v>0</v>
      </c>
      <c r="I304" s="34">
        <f t="shared" si="17"/>
        <v>0</v>
      </c>
      <c r="J304" s="35">
        <f>IFERROR(VLOOKUP(G304,VentList!$A$1:$D$198,2,FALSE),0)</f>
        <v>0</v>
      </c>
      <c r="K304" s="26">
        <f>IFERROR(VLOOKUP(B304,RadCompList!$P$3:$Q$6,2,FALSE)*H304,0)</f>
        <v>0</v>
      </c>
      <c r="L304" s="26" t="str">
        <f t="shared" si="20"/>
        <v>3/4</v>
      </c>
      <c r="M304" s="37">
        <f>Main!$G$8-0.0001306*N304^2 * F304*(1+3.6/VLOOKUP(L304,Calculations!$B$4:$F$15,2,FALSE))/(3600*Main!$C$7*VLOOKUP(L304,Calculations!$B$4:$F$15,2,FALSE)^5)</f>
        <v>0.14820436411902377</v>
      </c>
      <c r="N304" s="37">
        <f t="shared" si="18"/>
        <v>0</v>
      </c>
      <c r="O304" s="37">
        <f>IF(H304&lt;32,SteamProperties!$F$24*Radiators!F304,IF(H304&lt;56,SteamProperties!$F$25*Radiators!F304,SteamProperties!$F$26*Radiators!F304))</f>
        <v>0</v>
      </c>
      <c r="P304" s="37">
        <f>IF(H304&lt;32,Calculations!$F$5*Radiators!F304,IF(H304&lt;56,Calculations!$F$6*Radiators!F304,Calculations!$F$7*Radiators!F304))</f>
        <v>0</v>
      </c>
      <c r="Q304" s="37">
        <f t="shared" si="19"/>
        <v>0</v>
      </c>
    </row>
    <row r="305" spans="2:17">
      <c r="B305" s="33"/>
      <c r="C305" s="34"/>
      <c r="D305" s="34"/>
      <c r="E305" s="34"/>
      <c r="F305" s="34"/>
      <c r="G305" s="34"/>
      <c r="H305" s="34">
        <f>IFERROR(IF(B305="Column",INDEX(RadCompList!$C$4:$G$13,MATCH(C305,RadCompList!$B$4:$B$13),MATCH(Radiators!D305,RadCompList!$C$3:$G$3)),IF(B305="Tube",INDEX(RadCompList!$C$16:$I$22,MATCH(C305,RadCompList!$B$16:$B$22),MATCH(Radiators!D305,RadCompList!$C$15:$I$15)),IF(B305="Cast Rad/Conv",INDEX(RadCompList!$C$28:$D$28,MATCH(C305,RadCompList!$B$28),MATCH(Radiators!D305,RadCompList!$C$27:$D$27)),IF(B305="Copper Cabinet",(INDEX(RadCompList!$E$39:$J$78,MATCH(Radiators!D305,RadCompList!$D$39:$D$78,0),MATCH(C305,RadCompList!$E$38:$J$38,0))),0))))*E305,0)*$A$2</f>
        <v>0</v>
      </c>
      <c r="I305" s="34">
        <f t="shared" si="17"/>
        <v>0</v>
      </c>
      <c r="J305" s="35">
        <f>IFERROR(VLOOKUP(G305,VentList!$A$1:$D$198,2,FALSE),0)</f>
        <v>0</v>
      </c>
      <c r="K305" s="26">
        <f>IFERROR(VLOOKUP(B305,RadCompList!$P$3:$Q$6,2,FALSE)*H305,0)</f>
        <v>0</v>
      </c>
      <c r="L305" s="26" t="str">
        <f t="shared" si="20"/>
        <v>3/4</v>
      </c>
      <c r="M305" s="37">
        <f>Main!$G$8-0.0001306*N305^2 * F305*(1+3.6/VLOOKUP(L305,Calculations!$B$4:$F$15,2,FALSE))/(3600*Main!$C$7*VLOOKUP(L305,Calculations!$B$4:$F$15,2,FALSE)^5)</f>
        <v>0.14820436411902377</v>
      </c>
      <c r="N305" s="37">
        <f t="shared" si="18"/>
        <v>0</v>
      </c>
      <c r="O305" s="37">
        <f>IF(H305&lt;32,SteamProperties!$F$24*Radiators!F305,IF(H305&lt;56,SteamProperties!$F$25*Radiators!F305,SteamProperties!$F$26*Radiators!F305))</f>
        <v>0</v>
      </c>
      <c r="P305" s="37">
        <f>IF(H305&lt;32,Calculations!$F$5*Radiators!F305,IF(H305&lt;56,Calculations!$F$6*Radiators!F305,Calculations!$F$7*Radiators!F305))</f>
        <v>0</v>
      </c>
      <c r="Q305" s="37">
        <f t="shared" si="19"/>
        <v>0</v>
      </c>
    </row>
    <row r="306" spans="2:17">
      <c r="B306" s="33"/>
      <c r="C306" s="34"/>
      <c r="D306" s="34"/>
      <c r="E306" s="34"/>
      <c r="F306" s="34"/>
      <c r="G306" s="34"/>
      <c r="H306" s="34">
        <f>IFERROR(IF(B306="Column",INDEX(RadCompList!$C$4:$G$13,MATCH(C306,RadCompList!$B$4:$B$13),MATCH(Radiators!D306,RadCompList!$C$3:$G$3)),IF(B306="Tube",INDEX(RadCompList!$C$16:$I$22,MATCH(C306,RadCompList!$B$16:$B$22),MATCH(Radiators!D306,RadCompList!$C$15:$I$15)),IF(B306="Cast Rad/Conv",INDEX(RadCompList!$C$28:$D$28,MATCH(C306,RadCompList!$B$28),MATCH(Radiators!D306,RadCompList!$C$27:$D$27)),IF(B306="Copper Cabinet",(INDEX(RadCompList!$E$39:$J$78,MATCH(Radiators!D306,RadCompList!$D$39:$D$78,0),MATCH(C306,RadCompList!$E$38:$J$38,0))),0))))*E306,0)*$A$2</f>
        <v>0</v>
      </c>
      <c r="I306" s="34">
        <f t="shared" si="17"/>
        <v>0</v>
      </c>
      <c r="J306" s="35">
        <f>IFERROR(VLOOKUP(G306,VentList!$A$1:$D$198,2,FALSE),0)</f>
        <v>0</v>
      </c>
      <c r="K306" s="26">
        <f>IFERROR(VLOOKUP(B306,RadCompList!$P$3:$Q$6,2,FALSE)*H306,0)</f>
        <v>0</v>
      </c>
      <c r="L306" s="26" t="str">
        <f t="shared" si="20"/>
        <v>3/4</v>
      </c>
      <c r="M306" s="37">
        <f>Main!$G$8-0.0001306*N306^2 * F306*(1+3.6/VLOOKUP(L306,Calculations!$B$4:$F$15,2,FALSE))/(3600*Main!$C$7*VLOOKUP(L306,Calculations!$B$4:$F$15,2,FALSE)^5)</f>
        <v>0.14820436411902377</v>
      </c>
      <c r="N306" s="37">
        <f t="shared" si="18"/>
        <v>0</v>
      </c>
      <c r="O306" s="37">
        <f>IF(H306&lt;32,SteamProperties!$F$24*Radiators!F306,IF(H306&lt;56,SteamProperties!$F$25*Radiators!F306,SteamProperties!$F$26*Radiators!F306))</f>
        <v>0</v>
      </c>
      <c r="P306" s="37">
        <f>IF(H306&lt;32,Calculations!$F$5*Radiators!F306,IF(H306&lt;56,Calculations!$F$6*Radiators!F306,Calculations!$F$7*Radiators!F306))</f>
        <v>0</v>
      </c>
      <c r="Q306" s="37">
        <f t="shared" si="19"/>
        <v>0</v>
      </c>
    </row>
    <row r="307" spans="2:17">
      <c r="B307" s="33"/>
      <c r="C307" s="34"/>
      <c r="D307" s="34"/>
      <c r="E307" s="34"/>
      <c r="F307" s="34"/>
      <c r="G307" s="34"/>
      <c r="H307" s="34">
        <f>IFERROR(IF(B307="Column",INDEX(RadCompList!$C$4:$G$13,MATCH(C307,RadCompList!$B$4:$B$13),MATCH(Radiators!D307,RadCompList!$C$3:$G$3)),IF(B307="Tube",INDEX(RadCompList!$C$16:$I$22,MATCH(C307,RadCompList!$B$16:$B$22),MATCH(Radiators!D307,RadCompList!$C$15:$I$15)),IF(B307="Cast Rad/Conv",INDEX(RadCompList!$C$28:$D$28,MATCH(C307,RadCompList!$B$28),MATCH(Radiators!D307,RadCompList!$C$27:$D$27)),IF(B307="Copper Cabinet",(INDEX(RadCompList!$E$39:$J$78,MATCH(Radiators!D307,RadCompList!$D$39:$D$78,0),MATCH(C307,RadCompList!$E$38:$J$38,0))),0))))*E307,0)*$A$2</f>
        <v>0</v>
      </c>
      <c r="I307" s="34">
        <f t="shared" si="17"/>
        <v>0</v>
      </c>
      <c r="J307" s="35">
        <f>IFERROR(VLOOKUP(G307,VentList!$A$1:$D$198,2,FALSE),0)</f>
        <v>0</v>
      </c>
      <c r="K307" s="26">
        <f>IFERROR(VLOOKUP(B307,RadCompList!$P$3:$Q$6,2,FALSE)*H307,0)</f>
        <v>0</v>
      </c>
      <c r="L307" s="26" t="str">
        <f t="shared" si="20"/>
        <v>3/4</v>
      </c>
      <c r="M307" s="37">
        <f>Main!$G$8-0.0001306*N307^2 * F307*(1+3.6/VLOOKUP(L307,Calculations!$B$4:$F$15,2,FALSE))/(3600*Main!$C$7*VLOOKUP(L307,Calculations!$B$4:$F$15,2,FALSE)^5)</f>
        <v>0.14820436411902377</v>
      </c>
      <c r="N307" s="37">
        <f t="shared" si="18"/>
        <v>0</v>
      </c>
      <c r="O307" s="37">
        <f>IF(H307&lt;32,SteamProperties!$F$24*Radiators!F307,IF(H307&lt;56,SteamProperties!$F$25*Radiators!F307,SteamProperties!$F$26*Radiators!F307))</f>
        <v>0</v>
      </c>
      <c r="P307" s="37">
        <f>IF(H307&lt;32,Calculations!$F$5*Radiators!F307,IF(H307&lt;56,Calculations!$F$6*Radiators!F307,Calculations!$F$7*Radiators!F307))</f>
        <v>0</v>
      </c>
      <c r="Q307" s="37">
        <f t="shared" si="19"/>
        <v>0</v>
      </c>
    </row>
    <row r="308" spans="2:17">
      <c r="B308" s="33"/>
      <c r="C308" s="34"/>
      <c r="D308" s="34"/>
      <c r="E308" s="34"/>
      <c r="F308" s="34"/>
      <c r="G308" s="34"/>
      <c r="H308" s="34">
        <f>IFERROR(IF(B308="Column",INDEX(RadCompList!$C$4:$G$13,MATCH(C308,RadCompList!$B$4:$B$13),MATCH(Radiators!D308,RadCompList!$C$3:$G$3)),IF(B308="Tube",INDEX(RadCompList!$C$16:$I$22,MATCH(C308,RadCompList!$B$16:$B$22),MATCH(Radiators!D308,RadCompList!$C$15:$I$15)),IF(B308="Cast Rad/Conv",INDEX(RadCompList!$C$28:$D$28,MATCH(C308,RadCompList!$B$28),MATCH(Radiators!D308,RadCompList!$C$27:$D$27)),IF(B308="Copper Cabinet",(INDEX(RadCompList!$E$39:$J$78,MATCH(Radiators!D308,RadCompList!$D$39:$D$78,0),MATCH(C308,RadCompList!$E$38:$J$38,0))),0))))*E308,0)*$A$2</f>
        <v>0</v>
      </c>
      <c r="I308" s="34">
        <f t="shared" si="17"/>
        <v>0</v>
      </c>
      <c r="J308" s="35">
        <f>IFERROR(VLOOKUP(G308,VentList!$A$1:$D$198,2,FALSE),0)</f>
        <v>0</v>
      </c>
      <c r="K308" s="26">
        <f>IFERROR(VLOOKUP(B308,RadCompList!$P$3:$Q$6,2,FALSE)*H308,0)</f>
        <v>0</v>
      </c>
      <c r="L308" s="26" t="str">
        <f t="shared" si="20"/>
        <v>3/4</v>
      </c>
      <c r="M308" s="37">
        <f>Main!$G$8-0.0001306*N308^2 * F308*(1+3.6/VLOOKUP(L308,Calculations!$B$4:$F$15,2,FALSE))/(3600*Main!$C$7*VLOOKUP(L308,Calculations!$B$4:$F$15,2,FALSE)^5)</f>
        <v>0.14820436411902377</v>
      </c>
      <c r="N308" s="37">
        <f t="shared" si="18"/>
        <v>0</v>
      </c>
      <c r="O308" s="37">
        <f>IF(H308&lt;32,SteamProperties!$F$24*Radiators!F308,IF(H308&lt;56,SteamProperties!$F$25*Radiators!F308,SteamProperties!$F$26*Radiators!F308))</f>
        <v>0</v>
      </c>
      <c r="P308" s="37">
        <f>IF(H308&lt;32,Calculations!$F$5*Radiators!F308,IF(H308&lt;56,Calculations!$F$6*Radiators!F308,Calculations!$F$7*Radiators!F308))</f>
        <v>0</v>
      </c>
      <c r="Q308" s="37">
        <f t="shared" si="19"/>
        <v>0</v>
      </c>
    </row>
    <row r="309" spans="2:17">
      <c r="B309" s="33"/>
      <c r="C309" s="34"/>
      <c r="D309" s="34"/>
      <c r="E309" s="34"/>
      <c r="F309" s="34"/>
      <c r="G309" s="34"/>
      <c r="H309" s="34">
        <f>IFERROR(IF(B309="Column",INDEX(RadCompList!$C$4:$G$13,MATCH(C309,RadCompList!$B$4:$B$13),MATCH(Radiators!D309,RadCompList!$C$3:$G$3)),IF(B309="Tube",INDEX(RadCompList!$C$16:$I$22,MATCH(C309,RadCompList!$B$16:$B$22),MATCH(Radiators!D309,RadCompList!$C$15:$I$15)),IF(B309="Cast Rad/Conv",INDEX(RadCompList!$C$28:$D$28,MATCH(C309,RadCompList!$B$28),MATCH(Radiators!D309,RadCompList!$C$27:$D$27)),IF(B309="Copper Cabinet",(INDEX(RadCompList!$E$39:$J$78,MATCH(Radiators!D309,RadCompList!$D$39:$D$78,0),MATCH(C309,RadCompList!$E$38:$J$38,0))),0))))*E309,0)*$A$2</f>
        <v>0</v>
      </c>
      <c r="I309" s="34">
        <f t="shared" si="17"/>
        <v>0</v>
      </c>
      <c r="J309" s="35">
        <f>IFERROR(VLOOKUP(G309,VentList!$A$1:$D$198,2,FALSE),0)</f>
        <v>0</v>
      </c>
      <c r="K309" s="26">
        <f>IFERROR(VLOOKUP(B309,RadCompList!$P$3:$Q$6,2,FALSE)*H309,0)</f>
        <v>0</v>
      </c>
      <c r="L309" s="26" t="str">
        <f t="shared" si="20"/>
        <v>3/4</v>
      </c>
      <c r="M309" s="37">
        <f>Main!$G$8-0.0001306*N309^2 * F309*(1+3.6/VLOOKUP(L309,Calculations!$B$4:$F$15,2,FALSE))/(3600*Main!$C$7*VLOOKUP(L309,Calculations!$B$4:$F$15,2,FALSE)^5)</f>
        <v>0.14820436411902377</v>
      </c>
      <c r="N309" s="37">
        <f t="shared" si="18"/>
        <v>0</v>
      </c>
      <c r="O309" s="37">
        <f>IF(H309&lt;32,SteamProperties!$F$24*Radiators!F309,IF(H309&lt;56,SteamProperties!$F$25*Radiators!F309,SteamProperties!$F$26*Radiators!F309))</f>
        <v>0</v>
      </c>
      <c r="P309" s="37">
        <f>IF(H309&lt;32,Calculations!$F$5*Radiators!F309,IF(H309&lt;56,Calculations!$F$6*Radiators!F309,Calculations!$F$7*Radiators!F309))</f>
        <v>0</v>
      </c>
      <c r="Q309" s="37">
        <f t="shared" si="19"/>
        <v>0</v>
      </c>
    </row>
    <row r="310" spans="2:17">
      <c r="B310" s="33"/>
      <c r="C310" s="34"/>
      <c r="D310" s="34"/>
      <c r="E310" s="34"/>
      <c r="F310" s="34"/>
      <c r="G310" s="34"/>
      <c r="H310" s="34">
        <f>IFERROR(IF(B310="Column",INDEX(RadCompList!$C$4:$G$13,MATCH(C310,RadCompList!$B$4:$B$13),MATCH(Radiators!D310,RadCompList!$C$3:$G$3)),IF(B310="Tube",INDEX(RadCompList!$C$16:$I$22,MATCH(C310,RadCompList!$B$16:$B$22),MATCH(Radiators!D310,RadCompList!$C$15:$I$15)),IF(B310="Cast Rad/Conv",INDEX(RadCompList!$C$28:$D$28,MATCH(C310,RadCompList!$B$28),MATCH(Radiators!D310,RadCompList!$C$27:$D$27)),IF(B310="Copper Cabinet",(INDEX(RadCompList!$E$39:$J$78,MATCH(Radiators!D310,RadCompList!$D$39:$D$78,0),MATCH(C310,RadCompList!$E$38:$J$38,0))),0))))*E310,0)*$A$2</f>
        <v>0</v>
      </c>
      <c r="I310" s="34">
        <f t="shared" si="17"/>
        <v>0</v>
      </c>
      <c r="J310" s="35">
        <f>IFERROR(VLOOKUP(G310,VentList!$A$1:$D$198,2,FALSE),0)</f>
        <v>0</v>
      </c>
      <c r="K310" s="26">
        <f>IFERROR(VLOOKUP(B310,RadCompList!$P$3:$Q$6,2,FALSE)*H310,0)</f>
        <v>0</v>
      </c>
      <c r="L310" s="26" t="str">
        <f t="shared" si="20"/>
        <v>3/4</v>
      </c>
      <c r="M310" s="37">
        <f>Main!$G$8-0.0001306*N310^2 * F310*(1+3.6/VLOOKUP(L310,Calculations!$B$4:$F$15,2,FALSE))/(3600*Main!$C$7*VLOOKUP(L310,Calculations!$B$4:$F$15,2,FALSE)^5)</f>
        <v>0.14820436411902377</v>
      </c>
      <c r="N310" s="37">
        <f t="shared" si="18"/>
        <v>0</v>
      </c>
      <c r="O310" s="37">
        <f>IF(H310&lt;32,SteamProperties!$F$24*Radiators!F310,IF(H310&lt;56,SteamProperties!$F$25*Radiators!F310,SteamProperties!$F$26*Radiators!F310))</f>
        <v>0</v>
      </c>
      <c r="P310" s="37">
        <f>IF(H310&lt;32,Calculations!$F$5*Radiators!F310,IF(H310&lt;56,Calculations!$F$6*Radiators!F310,Calculations!$F$7*Radiators!F310))</f>
        <v>0</v>
      </c>
      <c r="Q310" s="37">
        <f t="shared" si="19"/>
        <v>0</v>
      </c>
    </row>
    <row r="311" spans="2:17">
      <c r="B311" s="33"/>
      <c r="C311" s="34"/>
      <c r="D311" s="34"/>
      <c r="E311" s="34"/>
      <c r="F311" s="34"/>
      <c r="G311" s="34"/>
      <c r="H311" s="34">
        <f>IFERROR(IF(B311="Column",INDEX(RadCompList!$C$4:$G$13,MATCH(C311,RadCompList!$B$4:$B$13),MATCH(Radiators!D311,RadCompList!$C$3:$G$3)),IF(B311="Tube",INDEX(RadCompList!$C$16:$I$22,MATCH(C311,RadCompList!$B$16:$B$22),MATCH(Radiators!D311,RadCompList!$C$15:$I$15)),IF(B311="Cast Rad/Conv",INDEX(RadCompList!$C$28:$D$28,MATCH(C311,RadCompList!$B$28),MATCH(Radiators!D311,RadCompList!$C$27:$D$27)),IF(B311="Copper Cabinet",(INDEX(RadCompList!$E$39:$J$78,MATCH(Radiators!D311,RadCompList!$D$39:$D$78,0),MATCH(C311,RadCompList!$E$38:$J$38,0))),0))))*E311,0)*$A$2</f>
        <v>0</v>
      </c>
      <c r="I311" s="34">
        <f t="shared" si="17"/>
        <v>0</v>
      </c>
      <c r="J311" s="35">
        <f>IFERROR(VLOOKUP(G311,VentList!$A$1:$D$198,2,FALSE),0)</f>
        <v>0</v>
      </c>
      <c r="K311" s="26">
        <f>IFERROR(VLOOKUP(B311,RadCompList!$P$3:$Q$6,2,FALSE)*H311,0)</f>
        <v>0</v>
      </c>
      <c r="L311" s="26" t="str">
        <f t="shared" si="20"/>
        <v>3/4</v>
      </c>
      <c r="M311" s="37">
        <f>Main!$G$8-0.0001306*N311^2 * F311*(1+3.6/VLOOKUP(L311,Calculations!$B$4:$F$15,2,FALSE))/(3600*Main!$C$7*VLOOKUP(L311,Calculations!$B$4:$F$15,2,FALSE)^5)</f>
        <v>0.14820436411902377</v>
      </c>
      <c r="N311" s="37">
        <f t="shared" si="18"/>
        <v>0</v>
      </c>
      <c r="O311" s="37">
        <f>IF(H311&lt;32,SteamProperties!$F$24*Radiators!F311,IF(H311&lt;56,SteamProperties!$F$25*Radiators!F311,SteamProperties!$F$26*Radiators!F311))</f>
        <v>0</v>
      </c>
      <c r="P311" s="37">
        <f>IF(H311&lt;32,Calculations!$F$5*Radiators!F311,IF(H311&lt;56,Calculations!$F$6*Radiators!F311,Calculations!$F$7*Radiators!F311))</f>
        <v>0</v>
      </c>
      <c r="Q311" s="37">
        <f t="shared" si="19"/>
        <v>0</v>
      </c>
    </row>
    <row r="312" spans="2:17">
      <c r="B312" s="33"/>
      <c r="C312" s="34"/>
      <c r="D312" s="34"/>
      <c r="E312" s="34"/>
      <c r="F312" s="34"/>
      <c r="G312" s="34"/>
      <c r="H312" s="34">
        <f>IFERROR(IF(B312="Column",INDEX(RadCompList!$C$4:$G$13,MATCH(C312,RadCompList!$B$4:$B$13),MATCH(Radiators!D312,RadCompList!$C$3:$G$3)),IF(B312="Tube",INDEX(RadCompList!$C$16:$I$22,MATCH(C312,RadCompList!$B$16:$B$22),MATCH(Radiators!D312,RadCompList!$C$15:$I$15)),IF(B312="Cast Rad/Conv",INDEX(RadCompList!$C$28:$D$28,MATCH(C312,RadCompList!$B$28),MATCH(Radiators!D312,RadCompList!$C$27:$D$27)),IF(B312="Copper Cabinet",(INDEX(RadCompList!$E$39:$J$78,MATCH(Radiators!D312,RadCompList!$D$39:$D$78,0),MATCH(C312,RadCompList!$E$38:$J$38,0))),0))))*E312,0)*$A$2</f>
        <v>0</v>
      </c>
      <c r="I312" s="34">
        <f t="shared" si="17"/>
        <v>0</v>
      </c>
      <c r="J312" s="35">
        <f>IFERROR(VLOOKUP(G312,VentList!$A$1:$D$198,2,FALSE),0)</f>
        <v>0</v>
      </c>
      <c r="K312" s="26">
        <f>IFERROR(VLOOKUP(B312,RadCompList!$P$3:$Q$6,2,FALSE)*H312,0)</f>
        <v>0</v>
      </c>
      <c r="L312" s="26" t="str">
        <f t="shared" si="20"/>
        <v>3/4</v>
      </c>
      <c r="M312" s="37">
        <f>Main!$G$8-0.0001306*N312^2 * F312*(1+3.6/VLOOKUP(L312,Calculations!$B$4:$F$15,2,FALSE))/(3600*Main!$C$7*VLOOKUP(L312,Calculations!$B$4:$F$15,2,FALSE)^5)</f>
        <v>0.14820436411902377</v>
      </c>
      <c r="N312" s="37">
        <f t="shared" si="18"/>
        <v>0</v>
      </c>
      <c r="O312" s="37">
        <f>IF(H312&lt;32,SteamProperties!$F$24*Radiators!F312,IF(H312&lt;56,SteamProperties!$F$25*Radiators!F312,SteamProperties!$F$26*Radiators!F312))</f>
        <v>0</v>
      </c>
      <c r="P312" s="37">
        <f>IF(H312&lt;32,Calculations!$F$5*Radiators!F312,IF(H312&lt;56,Calculations!$F$6*Radiators!F312,Calculations!$F$7*Radiators!F312))</f>
        <v>0</v>
      </c>
      <c r="Q312" s="37">
        <f t="shared" si="19"/>
        <v>0</v>
      </c>
    </row>
    <row r="313" spans="2:17">
      <c r="B313" s="33"/>
      <c r="C313" s="34"/>
      <c r="D313" s="34"/>
      <c r="E313" s="34"/>
      <c r="F313" s="34"/>
      <c r="G313" s="34"/>
      <c r="H313" s="34">
        <f>IFERROR(IF(B313="Column",INDEX(RadCompList!$C$4:$G$13,MATCH(C313,RadCompList!$B$4:$B$13),MATCH(Radiators!D313,RadCompList!$C$3:$G$3)),IF(B313="Tube",INDEX(RadCompList!$C$16:$I$22,MATCH(C313,RadCompList!$B$16:$B$22),MATCH(Radiators!D313,RadCompList!$C$15:$I$15)),IF(B313="Cast Rad/Conv",INDEX(RadCompList!$C$28:$D$28,MATCH(C313,RadCompList!$B$28),MATCH(Radiators!D313,RadCompList!$C$27:$D$27)),IF(B313="Copper Cabinet",(INDEX(RadCompList!$E$39:$J$78,MATCH(Radiators!D313,RadCompList!$D$39:$D$78,0),MATCH(C313,RadCompList!$E$38:$J$38,0))),0))))*E313,0)*$A$2</f>
        <v>0</v>
      </c>
      <c r="I313" s="34">
        <f t="shared" si="17"/>
        <v>0</v>
      </c>
      <c r="J313" s="35">
        <f>IFERROR(VLOOKUP(G313,VentList!$A$1:$D$198,2,FALSE),0)</f>
        <v>0</v>
      </c>
      <c r="K313" s="26">
        <f>IFERROR(VLOOKUP(B313,RadCompList!$P$3:$Q$6,2,FALSE)*H313,0)</f>
        <v>0</v>
      </c>
      <c r="L313" s="26" t="str">
        <f t="shared" si="20"/>
        <v>3/4</v>
      </c>
      <c r="M313" s="37">
        <f>Main!$G$8-0.0001306*N313^2 * F313*(1+3.6/VLOOKUP(L313,Calculations!$B$4:$F$15,2,FALSE))/(3600*Main!$C$7*VLOOKUP(L313,Calculations!$B$4:$F$15,2,FALSE)^5)</f>
        <v>0.14820436411902377</v>
      </c>
      <c r="N313" s="37">
        <f t="shared" si="18"/>
        <v>0</v>
      </c>
      <c r="O313" s="37">
        <f>IF(H313&lt;32,SteamProperties!$F$24*Radiators!F313,IF(H313&lt;56,SteamProperties!$F$25*Radiators!F313,SteamProperties!$F$26*Radiators!F313))</f>
        <v>0</v>
      </c>
      <c r="P313" s="37">
        <f>IF(H313&lt;32,Calculations!$F$5*Radiators!F313,IF(H313&lt;56,Calculations!$F$6*Radiators!F313,Calculations!$F$7*Radiators!F313))</f>
        <v>0</v>
      </c>
      <c r="Q313" s="37">
        <f t="shared" si="19"/>
        <v>0</v>
      </c>
    </row>
    <row r="314" spans="2:17">
      <c r="B314" s="33"/>
      <c r="C314" s="34"/>
      <c r="D314" s="34"/>
      <c r="E314" s="34"/>
      <c r="F314" s="34"/>
      <c r="G314" s="34"/>
      <c r="H314" s="34">
        <f>IFERROR(IF(B314="Column",INDEX(RadCompList!$C$4:$G$13,MATCH(C314,RadCompList!$B$4:$B$13),MATCH(Radiators!D314,RadCompList!$C$3:$G$3)),IF(B314="Tube",INDEX(RadCompList!$C$16:$I$22,MATCH(C314,RadCompList!$B$16:$B$22),MATCH(Radiators!D314,RadCompList!$C$15:$I$15)),IF(B314="Cast Rad/Conv",INDEX(RadCompList!$C$28:$D$28,MATCH(C314,RadCompList!$B$28),MATCH(Radiators!D314,RadCompList!$C$27:$D$27)),IF(B314="Copper Cabinet",(INDEX(RadCompList!$E$39:$J$78,MATCH(Radiators!D314,RadCompList!$D$39:$D$78,0),MATCH(C314,RadCompList!$E$38:$J$38,0))),0))))*E314,0)*$A$2</f>
        <v>0</v>
      </c>
      <c r="I314" s="34">
        <f t="shared" si="17"/>
        <v>0</v>
      </c>
      <c r="J314" s="35">
        <f>IFERROR(VLOOKUP(G314,VentList!$A$1:$D$198,2,FALSE),0)</f>
        <v>0</v>
      </c>
      <c r="K314" s="26">
        <f>IFERROR(VLOOKUP(B314,RadCompList!$P$3:$Q$6,2,FALSE)*H314,0)</f>
        <v>0</v>
      </c>
      <c r="L314" s="26" t="str">
        <f t="shared" si="20"/>
        <v>3/4</v>
      </c>
      <c r="M314" s="37">
        <f>Main!$G$8-0.0001306*N314^2 * F314*(1+3.6/VLOOKUP(L314,Calculations!$B$4:$F$15,2,FALSE))/(3600*Main!$C$7*VLOOKUP(L314,Calculations!$B$4:$F$15,2,FALSE)^5)</f>
        <v>0.14820436411902377</v>
      </c>
      <c r="N314" s="37">
        <f t="shared" si="18"/>
        <v>0</v>
      </c>
      <c r="O314" s="37">
        <f>IF(H314&lt;32,SteamProperties!$F$24*Radiators!F314,IF(H314&lt;56,SteamProperties!$F$25*Radiators!F314,SteamProperties!$F$26*Radiators!F314))</f>
        <v>0</v>
      </c>
      <c r="P314" s="37">
        <f>IF(H314&lt;32,Calculations!$F$5*Radiators!F314,IF(H314&lt;56,Calculations!$F$6*Radiators!F314,Calculations!$F$7*Radiators!F314))</f>
        <v>0</v>
      </c>
      <c r="Q314" s="37">
        <f t="shared" si="19"/>
        <v>0</v>
      </c>
    </row>
    <row r="315" spans="2:17">
      <c r="B315" s="33"/>
      <c r="C315" s="34"/>
      <c r="D315" s="34"/>
      <c r="E315" s="34"/>
      <c r="F315" s="34"/>
      <c r="G315" s="34"/>
      <c r="H315" s="34">
        <f>IFERROR(IF(B315="Column",INDEX(RadCompList!$C$4:$G$13,MATCH(C315,RadCompList!$B$4:$B$13),MATCH(Radiators!D315,RadCompList!$C$3:$G$3)),IF(B315="Tube",INDEX(RadCompList!$C$16:$I$22,MATCH(C315,RadCompList!$B$16:$B$22),MATCH(Radiators!D315,RadCompList!$C$15:$I$15)),IF(B315="Cast Rad/Conv",INDEX(RadCompList!$C$28:$D$28,MATCH(C315,RadCompList!$B$28),MATCH(Radiators!D315,RadCompList!$C$27:$D$27)),IF(B315="Copper Cabinet",(INDEX(RadCompList!$E$39:$J$78,MATCH(Radiators!D315,RadCompList!$D$39:$D$78,0),MATCH(C315,RadCompList!$E$38:$J$38,0))),0))))*E315,0)*$A$2</f>
        <v>0</v>
      </c>
      <c r="I315" s="34">
        <f t="shared" si="17"/>
        <v>0</v>
      </c>
      <c r="J315" s="35">
        <f>IFERROR(VLOOKUP(G315,VentList!$A$1:$D$198,2,FALSE),0)</f>
        <v>0</v>
      </c>
      <c r="K315" s="26">
        <f>IFERROR(VLOOKUP(B315,RadCompList!$P$3:$Q$6,2,FALSE)*H315,0)</f>
        <v>0</v>
      </c>
      <c r="L315" s="26" t="str">
        <f t="shared" si="20"/>
        <v>3/4</v>
      </c>
      <c r="M315" s="37">
        <f>Main!$G$8-0.0001306*N315^2 * F315*(1+3.6/VLOOKUP(L315,Calculations!$B$4:$F$15,2,FALSE))/(3600*Main!$C$7*VLOOKUP(L315,Calculations!$B$4:$F$15,2,FALSE)^5)</f>
        <v>0.14820436411902377</v>
      </c>
      <c r="N315" s="37">
        <f t="shared" si="18"/>
        <v>0</v>
      </c>
      <c r="O315" s="37">
        <f>IF(H315&lt;32,SteamProperties!$F$24*Radiators!F315,IF(H315&lt;56,SteamProperties!$F$25*Radiators!F315,SteamProperties!$F$26*Radiators!F315))</f>
        <v>0</v>
      </c>
      <c r="P315" s="37">
        <f>IF(H315&lt;32,Calculations!$F$5*Radiators!F315,IF(H315&lt;56,Calculations!$F$6*Radiators!F315,Calculations!$F$7*Radiators!F315))</f>
        <v>0</v>
      </c>
      <c r="Q315" s="37">
        <f t="shared" si="19"/>
        <v>0</v>
      </c>
    </row>
    <row r="316" spans="2:17">
      <c r="B316" s="33"/>
      <c r="C316" s="34"/>
      <c r="D316" s="34"/>
      <c r="E316" s="34"/>
      <c r="F316" s="34"/>
      <c r="G316" s="34"/>
      <c r="H316" s="34">
        <f>IFERROR(IF(B316="Column",INDEX(RadCompList!$C$4:$G$13,MATCH(C316,RadCompList!$B$4:$B$13),MATCH(Radiators!D316,RadCompList!$C$3:$G$3)),IF(B316="Tube",INDEX(RadCompList!$C$16:$I$22,MATCH(C316,RadCompList!$B$16:$B$22),MATCH(Radiators!D316,RadCompList!$C$15:$I$15)),IF(B316="Cast Rad/Conv",INDEX(RadCompList!$C$28:$D$28,MATCH(C316,RadCompList!$B$28),MATCH(Radiators!D316,RadCompList!$C$27:$D$27)),IF(B316="Copper Cabinet",(INDEX(RadCompList!$E$39:$J$78,MATCH(Radiators!D316,RadCompList!$D$39:$D$78,0),MATCH(C316,RadCompList!$E$38:$J$38,0))),0))))*E316,0)*$A$2</f>
        <v>0</v>
      </c>
      <c r="I316" s="34">
        <f t="shared" si="17"/>
        <v>0</v>
      </c>
      <c r="J316" s="35">
        <f>IFERROR(VLOOKUP(G316,VentList!$A$1:$D$198,2,FALSE),0)</f>
        <v>0</v>
      </c>
      <c r="K316" s="26">
        <f>IFERROR(VLOOKUP(B316,RadCompList!$P$3:$Q$6,2,FALSE)*H316,0)</f>
        <v>0</v>
      </c>
      <c r="L316" s="26" t="str">
        <f t="shared" si="20"/>
        <v>3/4</v>
      </c>
      <c r="M316" s="37">
        <f>Main!$G$8-0.0001306*N316^2 * F316*(1+3.6/VLOOKUP(L316,Calculations!$B$4:$F$15,2,FALSE))/(3600*Main!$C$7*VLOOKUP(L316,Calculations!$B$4:$F$15,2,FALSE)^5)</f>
        <v>0.14820436411902377</v>
      </c>
      <c r="N316" s="37">
        <f t="shared" si="18"/>
        <v>0</v>
      </c>
      <c r="O316" s="37">
        <f>IF(H316&lt;32,SteamProperties!$F$24*Radiators!F316,IF(H316&lt;56,SteamProperties!$F$25*Radiators!F316,SteamProperties!$F$26*Radiators!F316))</f>
        <v>0</v>
      </c>
      <c r="P316" s="37">
        <f>IF(H316&lt;32,Calculations!$F$5*Radiators!F316,IF(H316&lt;56,Calculations!$F$6*Radiators!F316,Calculations!$F$7*Radiators!F316))</f>
        <v>0</v>
      </c>
      <c r="Q316" s="37">
        <f t="shared" si="19"/>
        <v>0</v>
      </c>
    </row>
    <row r="317" spans="2:17">
      <c r="B317" s="33"/>
      <c r="C317" s="34"/>
      <c r="D317" s="34"/>
      <c r="E317" s="34"/>
      <c r="F317" s="34"/>
      <c r="G317" s="34"/>
      <c r="H317" s="34">
        <f>IFERROR(IF(B317="Column",INDEX(RadCompList!$C$4:$G$13,MATCH(C317,RadCompList!$B$4:$B$13),MATCH(Radiators!D317,RadCompList!$C$3:$G$3)),IF(B317="Tube",INDEX(RadCompList!$C$16:$I$22,MATCH(C317,RadCompList!$B$16:$B$22),MATCH(Radiators!D317,RadCompList!$C$15:$I$15)),IF(B317="Cast Rad/Conv",INDEX(RadCompList!$C$28:$D$28,MATCH(C317,RadCompList!$B$28),MATCH(Radiators!D317,RadCompList!$C$27:$D$27)),IF(B317="Copper Cabinet",(INDEX(RadCompList!$E$39:$J$78,MATCH(Radiators!D317,RadCompList!$D$39:$D$78,0),MATCH(C317,RadCompList!$E$38:$J$38,0))),0))))*E317,0)*$A$2</f>
        <v>0</v>
      </c>
      <c r="I317" s="34">
        <f t="shared" si="17"/>
        <v>0</v>
      </c>
      <c r="J317" s="35">
        <f>IFERROR(VLOOKUP(G317,VentList!$A$1:$D$198,2,FALSE),0)</f>
        <v>0</v>
      </c>
      <c r="K317" s="26">
        <f>IFERROR(VLOOKUP(B317,RadCompList!$P$3:$Q$6,2,FALSE)*H317,0)</f>
        <v>0</v>
      </c>
      <c r="L317" s="26" t="str">
        <f t="shared" si="20"/>
        <v>3/4</v>
      </c>
      <c r="M317" s="37">
        <f>Main!$G$8-0.0001306*N317^2 * F317*(1+3.6/VLOOKUP(L317,Calculations!$B$4:$F$15,2,FALSE))/(3600*Main!$C$7*VLOOKUP(L317,Calculations!$B$4:$F$15,2,FALSE)^5)</f>
        <v>0.14820436411902377</v>
      </c>
      <c r="N317" s="37">
        <f t="shared" si="18"/>
        <v>0</v>
      </c>
      <c r="O317" s="37">
        <f>IF(H317&lt;32,SteamProperties!$F$24*Radiators!F317,IF(H317&lt;56,SteamProperties!$F$25*Radiators!F317,SteamProperties!$F$26*Radiators!F317))</f>
        <v>0</v>
      </c>
      <c r="P317" s="37">
        <f>IF(H317&lt;32,Calculations!$F$5*Radiators!F317,IF(H317&lt;56,Calculations!$F$6*Radiators!F317,Calculations!$F$7*Radiators!F317))</f>
        <v>0</v>
      </c>
      <c r="Q317" s="37">
        <f t="shared" si="19"/>
        <v>0</v>
      </c>
    </row>
    <row r="318" spans="2:17">
      <c r="B318" s="33"/>
      <c r="C318" s="34"/>
      <c r="D318" s="34"/>
      <c r="E318" s="34"/>
      <c r="F318" s="34"/>
      <c r="G318" s="34"/>
      <c r="H318" s="34">
        <f>IFERROR(IF(B318="Column",INDEX(RadCompList!$C$4:$G$13,MATCH(C318,RadCompList!$B$4:$B$13),MATCH(Radiators!D318,RadCompList!$C$3:$G$3)),IF(B318="Tube",INDEX(RadCompList!$C$16:$I$22,MATCH(C318,RadCompList!$B$16:$B$22),MATCH(Radiators!D318,RadCompList!$C$15:$I$15)),IF(B318="Cast Rad/Conv",INDEX(RadCompList!$C$28:$D$28,MATCH(C318,RadCompList!$B$28),MATCH(Radiators!D318,RadCompList!$C$27:$D$27)),IF(B318="Copper Cabinet",(INDEX(RadCompList!$E$39:$J$78,MATCH(Radiators!D318,RadCompList!$D$39:$D$78,0),MATCH(C318,RadCompList!$E$38:$J$38,0))),0))))*E318,0)*$A$2</f>
        <v>0</v>
      </c>
      <c r="I318" s="34">
        <f t="shared" si="17"/>
        <v>0</v>
      </c>
      <c r="J318" s="35">
        <f>IFERROR(VLOOKUP(G318,VentList!$A$1:$D$198,2,FALSE),0)</f>
        <v>0</v>
      </c>
      <c r="K318" s="26">
        <f>IFERROR(VLOOKUP(B318,RadCompList!$P$3:$Q$6,2,FALSE)*H318,0)</f>
        <v>0</v>
      </c>
      <c r="L318" s="26" t="str">
        <f t="shared" si="20"/>
        <v>3/4</v>
      </c>
      <c r="M318" s="37">
        <f>Main!$G$8-0.0001306*N318^2 * F318*(1+3.6/VLOOKUP(L318,Calculations!$B$4:$F$15,2,FALSE))/(3600*Main!$C$7*VLOOKUP(L318,Calculations!$B$4:$F$15,2,FALSE)^5)</f>
        <v>0.14820436411902377</v>
      </c>
      <c r="N318" s="37">
        <f t="shared" si="18"/>
        <v>0</v>
      </c>
      <c r="O318" s="37">
        <f>IF(H318&lt;32,SteamProperties!$F$24*Radiators!F318,IF(H318&lt;56,SteamProperties!$F$25*Radiators!F318,SteamProperties!$F$26*Radiators!F318))</f>
        <v>0</v>
      </c>
      <c r="P318" s="37">
        <f>IF(H318&lt;32,Calculations!$F$5*Radiators!F318,IF(H318&lt;56,Calculations!$F$6*Radiators!F318,Calculations!$F$7*Radiators!F318))</f>
        <v>0</v>
      </c>
      <c r="Q318" s="37">
        <f t="shared" si="19"/>
        <v>0</v>
      </c>
    </row>
    <row r="319" spans="2:17">
      <c r="B319" s="33"/>
      <c r="C319" s="34"/>
      <c r="D319" s="34"/>
      <c r="E319" s="34"/>
      <c r="F319" s="34"/>
      <c r="G319" s="34"/>
      <c r="H319" s="34">
        <f>IFERROR(IF(B319="Column",INDEX(RadCompList!$C$4:$G$13,MATCH(C319,RadCompList!$B$4:$B$13),MATCH(Radiators!D319,RadCompList!$C$3:$G$3)),IF(B319="Tube",INDEX(RadCompList!$C$16:$I$22,MATCH(C319,RadCompList!$B$16:$B$22),MATCH(Radiators!D319,RadCompList!$C$15:$I$15)),IF(B319="Cast Rad/Conv",INDEX(RadCompList!$C$28:$D$28,MATCH(C319,RadCompList!$B$28),MATCH(Radiators!D319,RadCompList!$C$27:$D$27)),IF(B319="Copper Cabinet",(INDEX(RadCompList!$E$39:$J$78,MATCH(Radiators!D319,RadCompList!$D$39:$D$78,0),MATCH(C319,RadCompList!$E$38:$J$38,0))),0))))*E319,0)*$A$2</f>
        <v>0</v>
      </c>
      <c r="I319" s="34">
        <f t="shared" si="17"/>
        <v>0</v>
      </c>
      <c r="J319" s="35">
        <f>IFERROR(VLOOKUP(G319,VentList!$A$1:$D$198,2,FALSE),0)</f>
        <v>0</v>
      </c>
      <c r="K319" s="26">
        <f>IFERROR(VLOOKUP(B319,RadCompList!$P$3:$Q$6,2,FALSE)*H319,0)</f>
        <v>0</v>
      </c>
      <c r="L319" s="26" t="str">
        <f t="shared" si="20"/>
        <v>3/4</v>
      </c>
      <c r="M319" s="37">
        <f>Main!$G$8-0.0001306*N319^2 * F319*(1+3.6/VLOOKUP(L319,Calculations!$B$4:$F$15,2,FALSE))/(3600*Main!$C$7*VLOOKUP(L319,Calculations!$B$4:$F$15,2,FALSE)^5)</f>
        <v>0.14820436411902377</v>
      </c>
      <c r="N319" s="37">
        <f t="shared" si="18"/>
        <v>0</v>
      </c>
      <c r="O319" s="37">
        <f>IF(H319&lt;32,SteamProperties!$F$24*Radiators!F319,IF(H319&lt;56,SteamProperties!$F$25*Radiators!F319,SteamProperties!$F$26*Radiators!F319))</f>
        <v>0</v>
      </c>
      <c r="P319" s="37">
        <f>IF(H319&lt;32,Calculations!$F$5*Radiators!F319,IF(H319&lt;56,Calculations!$F$6*Radiators!F319,Calculations!$F$7*Radiators!F319))</f>
        <v>0</v>
      </c>
      <c r="Q319" s="37">
        <f t="shared" si="19"/>
        <v>0</v>
      </c>
    </row>
    <row r="320" spans="2:17">
      <c r="B320" s="33"/>
      <c r="C320" s="34"/>
      <c r="D320" s="34"/>
      <c r="E320" s="34"/>
      <c r="F320" s="34"/>
      <c r="G320" s="34"/>
      <c r="H320" s="34">
        <f>IFERROR(IF(B320="Column",INDEX(RadCompList!$C$4:$G$13,MATCH(C320,RadCompList!$B$4:$B$13),MATCH(Radiators!D320,RadCompList!$C$3:$G$3)),IF(B320="Tube",INDEX(RadCompList!$C$16:$I$22,MATCH(C320,RadCompList!$B$16:$B$22),MATCH(Radiators!D320,RadCompList!$C$15:$I$15)),IF(B320="Cast Rad/Conv",INDEX(RadCompList!$C$28:$D$28,MATCH(C320,RadCompList!$B$28),MATCH(Radiators!D320,RadCompList!$C$27:$D$27)),IF(B320="Copper Cabinet",(INDEX(RadCompList!$E$39:$J$78,MATCH(Radiators!D320,RadCompList!$D$39:$D$78,0),MATCH(C320,RadCompList!$E$38:$J$38,0))),0))))*E320,0)*$A$2</f>
        <v>0</v>
      </c>
      <c r="I320" s="34">
        <f t="shared" si="17"/>
        <v>0</v>
      </c>
      <c r="J320" s="35">
        <f>IFERROR(VLOOKUP(G320,VentList!$A$1:$D$198,2,FALSE),0)</f>
        <v>0</v>
      </c>
      <c r="K320" s="26">
        <f>IFERROR(VLOOKUP(B320,RadCompList!$P$3:$Q$6,2,FALSE)*H320,0)</f>
        <v>0</v>
      </c>
      <c r="L320" s="26" t="str">
        <f t="shared" si="20"/>
        <v>3/4</v>
      </c>
      <c r="M320" s="37">
        <f>Main!$G$8-0.0001306*N320^2 * F320*(1+3.6/VLOOKUP(L320,Calculations!$B$4:$F$15,2,FALSE))/(3600*Main!$C$7*VLOOKUP(L320,Calculations!$B$4:$F$15,2,FALSE)^5)</f>
        <v>0.14820436411902377</v>
      </c>
      <c r="N320" s="37">
        <f t="shared" si="18"/>
        <v>0</v>
      </c>
      <c r="O320" s="37">
        <f>IF(H320&lt;32,SteamProperties!$F$24*Radiators!F320,IF(H320&lt;56,SteamProperties!$F$25*Radiators!F320,SteamProperties!$F$26*Radiators!F320))</f>
        <v>0</v>
      </c>
      <c r="P320" s="37">
        <f>IF(H320&lt;32,Calculations!$F$5*Radiators!F320,IF(H320&lt;56,Calculations!$F$6*Radiators!F320,Calculations!$F$7*Radiators!F320))</f>
        <v>0</v>
      </c>
      <c r="Q320" s="37">
        <f t="shared" si="19"/>
        <v>0</v>
      </c>
    </row>
    <row r="321" spans="2:17">
      <c r="B321" s="33"/>
      <c r="C321" s="34"/>
      <c r="D321" s="34"/>
      <c r="E321" s="34"/>
      <c r="F321" s="34"/>
      <c r="G321" s="34"/>
      <c r="H321" s="34">
        <f>IFERROR(IF(B321="Column",INDEX(RadCompList!$C$4:$G$13,MATCH(C321,RadCompList!$B$4:$B$13),MATCH(Radiators!D321,RadCompList!$C$3:$G$3)),IF(B321="Tube",INDEX(RadCompList!$C$16:$I$22,MATCH(C321,RadCompList!$B$16:$B$22),MATCH(Radiators!D321,RadCompList!$C$15:$I$15)),IF(B321="Cast Rad/Conv",INDEX(RadCompList!$C$28:$D$28,MATCH(C321,RadCompList!$B$28),MATCH(Radiators!D321,RadCompList!$C$27:$D$27)),IF(B321="Copper Cabinet",(INDEX(RadCompList!$E$39:$J$78,MATCH(Radiators!D321,RadCompList!$D$39:$D$78,0),MATCH(C321,RadCompList!$E$38:$J$38,0))),0))))*E321,0)*$A$2</f>
        <v>0</v>
      </c>
      <c r="I321" s="34">
        <f t="shared" si="17"/>
        <v>0</v>
      </c>
      <c r="J321" s="35">
        <f>IFERROR(VLOOKUP(G321,VentList!$A$1:$D$198,2,FALSE),0)</f>
        <v>0</v>
      </c>
      <c r="K321" s="26">
        <f>IFERROR(VLOOKUP(B321,RadCompList!$P$3:$Q$6,2,FALSE)*H321,0)</f>
        <v>0</v>
      </c>
      <c r="L321" s="26" t="str">
        <f t="shared" si="20"/>
        <v>3/4</v>
      </c>
      <c r="M321" s="37">
        <f>Main!$G$8-0.0001306*N321^2 * F321*(1+3.6/VLOOKUP(L321,Calculations!$B$4:$F$15,2,FALSE))/(3600*Main!$C$7*VLOOKUP(L321,Calculations!$B$4:$F$15,2,FALSE)^5)</f>
        <v>0.14820436411902377</v>
      </c>
      <c r="N321" s="37">
        <f t="shared" si="18"/>
        <v>0</v>
      </c>
      <c r="O321" s="37">
        <f>IF(H321&lt;32,SteamProperties!$F$24*Radiators!F321,IF(H321&lt;56,SteamProperties!$F$25*Radiators!F321,SteamProperties!$F$26*Radiators!F321))</f>
        <v>0</v>
      </c>
      <c r="P321" s="37">
        <f>IF(H321&lt;32,Calculations!$F$5*Radiators!F321,IF(H321&lt;56,Calculations!$F$6*Radiators!F321,Calculations!$F$7*Radiators!F321))</f>
        <v>0</v>
      </c>
      <c r="Q321" s="37">
        <f t="shared" si="19"/>
        <v>0</v>
      </c>
    </row>
    <row r="322" spans="2:17">
      <c r="B322" s="33"/>
      <c r="C322" s="34"/>
      <c r="D322" s="34"/>
      <c r="E322" s="34"/>
      <c r="F322" s="34"/>
      <c r="G322" s="34"/>
      <c r="H322" s="34">
        <f>IFERROR(IF(B322="Column",INDEX(RadCompList!$C$4:$G$13,MATCH(C322,RadCompList!$B$4:$B$13),MATCH(Radiators!D322,RadCompList!$C$3:$G$3)),IF(B322="Tube",INDEX(RadCompList!$C$16:$I$22,MATCH(C322,RadCompList!$B$16:$B$22),MATCH(Radiators!D322,RadCompList!$C$15:$I$15)),IF(B322="Cast Rad/Conv",INDEX(RadCompList!$C$28:$D$28,MATCH(C322,RadCompList!$B$28),MATCH(Radiators!D322,RadCompList!$C$27:$D$27)),IF(B322="Copper Cabinet",(INDEX(RadCompList!$E$39:$J$78,MATCH(Radiators!D322,RadCompList!$D$39:$D$78,0),MATCH(C322,RadCompList!$E$38:$J$38,0))),0))))*E322,0)*$A$2</f>
        <v>0</v>
      </c>
      <c r="I322" s="34">
        <f t="shared" si="17"/>
        <v>0</v>
      </c>
      <c r="J322" s="35">
        <f>IFERROR(VLOOKUP(G322,VentList!$A$1:$D$198,2,FALSE),0)</f>
        <v>0</v>
      </c>
      <c r="K322" s="26">
        <f>IFERROR(VLOOKUP(B322,RadCompList!$P$3:$Q$6,2,FALSE)*H322,0)</f>
        <v>0</v>
      </c>
      <c r="L322" s="26" t="str">
        <f t="shared" si="20"/>
        <v>3/4</v>
      </c>
      <c r="M322" s="37">
        <f>Main!$G$8-0.0001306*N322^2 * F322*(1+3.6/VLOOKUP(L322,Calculations!$B$4:$F$15,2,FALSE))/(3600*Main!$C$7*VLOOKUP(L322,Calculations!$B$4:$F$15,2,FALSE)^5)</f>
        <v>0.14820436411902377</v>
      </c>
      <c r="N322" s="37">
        <f t="shared" si="18"/>
        <v>0</v>
      </c>
      <c r="O322" s="37">
        <f>IF(H322&lt;32,SteamProperties!$F$24*Radiators!F322,IF(H322&lt;56,SteamProperties!$F$25*Radiators!F322,SteamProperties!$F$26*Radiators!F322))</f>
        <v>0</v>
      </c>
      <c r="P322" s="37">
        <f>IF(H322&lt;32,Calculations!$F$5*Radiators!F322,IF(H322&lt;56,Calculations!$F$6*Radiators!F322,Calculations!$F$7*Radiators!F322))</f>
        <v>0</v>
      </c>
      <c r="Q322" s="37">
        <f t="shared" si="19"/>
        <v>0</v>
      </c>
    </row>
    <row r="323" spans="2:17">
      <c r="B323" s="33"/>
      <c r="C323" s="34"/>
      <c r="D323" s="34"/>
      <c r="E323" s="34"/>
      <c r="F323" s="34"/>
      <c r="G323" s="34"/>
      <c r="H323" s="34">
        <f>IFERROR(IF(B323="Column",INDEX(RadCompList!$C$4:$G$13,MATCH(C323,RadCompList!$B$4:$B$13),MATCH(Radiators!D323,RadCompList!$C$3:$G$3)),IF(B323="Tube",INDEX(RadCompList!$C$16:$I$22,MATCH(C323,RadCompList!$B$16:$B$22),MATCH(Radiators!D323,RadCompList!$C$15:$I$15)),IF(B323="Cast Rad/Conv",INDEX(RadCompList!$C$28:$D$28,MATCH(C323,RadCompList!$B$28),MATCH(Radiators!D323,RadCompList!$C$27:$D$27)),IF(B323="Copper Cabinet",(INDEX(RadCompList!$E$39:$J$78,MATCH(Radiators!D323,RadCompList!$D$39:$D$78,0),MATCH(C323,RadCompList!$E$38:$J$38,0))),0))))*E323,0)*$A$2</f>
        <v>0</v>
      </c>
      <c r="I323" s="34">
        <f t="shared" ref="I323:I386" si="21">IFERROR(240*H323,0)*$A$2</f>
        <v>0</v>
      </c>
      <c r="J323" s="35">
        <f>IFERROR(VLOOKUP(G323,VentList!$A$1:$D$198,2,FALSE),0)</f>
        <v>0</v>
      </c>
      <c r="K323" s="26">
        <f>IFERROR(VLOOKUP(B323,RadCompList!$P$3:$Q$6,2,FALSE)*H323,0)</f>
        <v>0</v>
      </c>
      <c r="L323" s="26" t="str">
        <f t="shared" si="20"/>
        <v>3/4</v>
      </c>
      <c r="M323" s="37">
        <f>Main!$G$8-0.0001306*N323^2 * F323*(1+3.6/VLOOKUP(L323,Calculations!$B$4:$F$15,2,FALSE))/(3600*Main!$C$7*VLOOKUP(L323,Calculations!$B$4:$F$15,2,FALSE)^5)</f>
        <v>0.14820436411902377</v>
      </c>
      <c r="N323" s="37">
        <f t="shared" ref="N323:N386" si="22">I323/(970+27)</f>
        <v>0</v>
      </c>
      <c r="O323" s="37">
        <f>IF(H323&lt;32,SteamProperties!$F$24*Radiators!F323,IF(H323&lt;56,SteamProperties!$F$25*Radiators!F323,SteamProperties!$F$26*Radiators!F323))</f>
        <v>0</v>
      </c>
      <c r="P323" s="37">
        <f>IF(H323&lt;32,Calculations!$F$5*Radiators!F323,IF(H323&lt;56,Calculations!$F$6*Radiators!F323,Calculations!$F$7*Radiators!F323))</f>
        <v>0</v>
      </c>
      <c r="Q323" s="37">
        <f t="shared" ref="Q323:Q386" si="23">I323/(970)</f>
        <v>0</v>
      </c>
    </row>
    <row r="324" spans="2:17">
      <c r="B324" s="33"/>
      <c r="C324" s="34"/>
      <c r="D324" s="34"/>
      <c r="E324" s="34"/>
      <c r="F324" s="34"/>
      <c r="G324" s="34"/>
      <c r="H324" s="34">
        <f>IFERROR(IF(B324="Column",INDEX(RadCompList!$C$4:$G$13,MATCH(C324,RadCompList!$B$4:$B$13),MATCH(Radiators!D324,RadCompList!$C$3:$G$3)),IF(B324="Tube",INDEX(RadCompList!$C$16:$I$22,MATCH(C324,RadCompList!$B$16:$B$22),MATCH(Radiators!D324,RadCompList!$C$15:$I$15)),IF(B324="Cast Rad/Conv",INDEX(RadCompList!$C$28:$D$28,MATCH(C324,RadCompList!$B$28),MATCH(Radiators!D324,RadCompList!$C$27:$D$27)),IF(B324="Copper Cabinet",(INDEX(RadCompList!$E$39:$J$78,MATCH(Radiators!D324,RadCompList!$D$39:$D$78,0),MATCH(C324,RadCompList!$E$38:$J$38,0))),0))))*E324,0)*$A$2</f>
        <v>0</v>
      </c>
      <c r="I324" s="34">
        <f t="shared" si="21"/>
        <v>0</v>
      </c>
      <c r="J324" s="35">
        <f>IFERROR(VLOOKUP(G324,VentList!$A$1:$D$198,2,FALSE),0)</f>
        <v>0</v>
      </c>
      <c r="K324" s="26">
        <f>IFERROR(VLOOKUP(B324,RadCompList!$P$3:$Q$6,2,FALSE)*H324,0)</f>
        <v>0</v>
      </c>
      <c r="L324" s="26" t="str">
        <f t="shared" si="20"/>
        <v>3/4</v>
      </c>
      <c r="M324" s="37">
        <f>Main!$G$8-0.0001306*N324^2 * F324*(1+3.6/VLOOKUP(L324,Calculations!$B$4:$F$15,2,FALSE))/(3600*Main!$C$7*VLOOKUP(L324,Calculations!$B$4:$F$15,2,FALSE)^5)</f>
        <v>0.14820436411902377</v>
      </c>
      <c r="N324" s="37">
        <f t="shared" si="22"/>
        <v>0</v>
      </c>
      <c r="O324" s="37">
        <f>IF(H324&lt;32,SteamProperties!$F$24*Radiators!F324,IF(H324&lt;56,SteamProperties!$F$25*Radiators!F324,SteamProperties!$F$26*Radiators!F324))</f>
        <v>0</v>
      </c>
      <c r="P324" s="37">
        <f>IF(H324&lt;32,Calculations!$F$5*Radiators!F324,IF(H324&lt;56,Calculations!$F$6*Radiators!F324,Calculations!$F$7*Radiators!F324))</f>
        <v>0</v>
      </c>
      <c r="Q324" s="37">
        <f t="shared" si="23"/>
        <v>0</v>
      </c>
    </row>
    <row r="325" spans="2:17">
      <c r="B325" s="33"/>
      <c r="C325" s="34"/>
      <c r="D325" s="34"/>
      <c r="E325" s="34"/>
      <c r="F325" s="34"/>
      <c r="G325" s="34"/>
      <c r="H325" s="34">
        <f>IFERROR(IF(B325="Column",INDEX(RadCompList!$C$4:$G$13,MATCH(C325,RadCompList!$B$4:$B$13),MATCH(Radiators!D325,RadCompList!$C$3:$G$3)),IF(B325="Tube",INDEX(RadCompList!$C$16:$I$22,MATCH(C325,RadCompList!$B$16:$B$22),MATCH(Radiators!D325,RadCompList!$C$15:$I$15)),IF(B325="Cast Rad/Conv",INDEX(RadCompList!$C$28:$D$28,MATCH(C325,RadCompList!$B$28),MATCH(Radiators!D325,RadCompList!$C$27:$D$27)),IF(B325="Copper Cabinet",(INDEX(RadCompList!$E$39:$J$78,MATCH(Radiators!D325,RadCompList!$D$39:$D$78,0),MATCH(C325,RadCompList!$E$38:$J$38,0))),0))))*E325,0)*$A$2</f>
        <v>0</v>
      </c>
      <c r="I325" s="34">
        <f t="shared" si="21"/>
        <v>0</v>
      </c>
      <c r="J325" s="35">
        <f>IFERROR(VLOOKUP(G325,VentList!$A$1:$D$198,2,FALSE),0)</f>
        <v>0</v>
      </c>
      <c r="K325" s="26">
        <f>IFERROR(VLOOKUP(B325,RadCompList!$P$3:$Q$6,2,FALSE)*H325,0)</f>
        <v>0</v>
      </c>
      <c r="L325" s="26" t="str">
        <f t="shared" si="20"/>
        <v>3/4</v>
      </c>
      <c r="M325" s="37">
        <f>Main!$G$8-0.0001306*N325^2 * F325*(1+3.6/VLOOKUP(L325,Calculations!$B$4:$F$15,2,FALSE))/(3600*Main!$C$7*VLOOKUP(L325,Calculations!$B$4:$F$15,2,FALSE)^5)</f>
        <v>0.14820436411902377</v>
      </c>
      <c r="N325" s="37">
        <f t="shared" si="22"/>
        <v>0</v>
      </c>
      <c r="O325" s="37">
        <f>IF(H325&lt;32,SteamProperties!$F$24*Radiators!F325,IF(H325&lt;56,SteamProperties!$F$25*Radiators!F325,SteamProperties!$F$26*Radiators!F325))</f>
        <v>0</v>
      </c>
      <c r="P325" s="37">
        <f>IF(H325&lt;32,Calculations!$F$5*Radiators!F325,IF(H325&lt;56,Calculations!$F$6*Radiators!F325,Calculations!$F$7*Radiators!F325))</f>
        <v>0</v>
      </c>
      <c r="Q325" s="37">
        <f t="shared" si="23"/>
        <v>0</v>
      </c>
    </row>
    <row r="326" spans="2:17">
      <c r="B326" s="33"/>
      <c r="C326" s="34"/>
      <c r="D326" s="34"/>
      <c r="E326" s="34"/>
      <c r="F326" s="34"/>
      <c r="G326" s="34"/>
      <c r="H326" s="34">
        <f>IFERROR(IF(B326="Column",INDEX(RadCompList!$C$4:$G$13,MATCH(C326,RadCompList!$B$4:$B$13),MATCH(Radiators!D326,RadCompList!$C$3:$G$3)),IF(B326="Tube",INDEX(RadCompList!$C$16:$I$22,MATCH(C326,RadCompList!$B$16:$B$22),MATCH(Radiators!D326,RadCompList!$C$15:$I$15)),IF(B326="Cast Rad/Conv",INDEX(RadCompList!$C$28:$D$28,MATCH(C326,RadCompList!$B$28),MATCH(Radiators!D326,RadCompList!$C$27:$D$27)),IF(B326="Copper Cabinet",(INDEX(RadCompList!$E$39:$J$78,MATCH(Radiators!D326,RadCompList!$D$39:$D$78,0),MATCH(C326,RadCompList!$E$38:$J$38,0))),0))))*E326,0)*$A$2</f>
        <v>0</v>
      </c>
      <c r="I326" s="34">
        <f t="shared" si="21"/>
        <v>0</v>
      </c>
      <c r="J326" s="35">
        <f>IFERROR(VLOOKUP(G326,VentList!$A$1:$D$198,2,FALSE),0)</f>
        <v>0</v>
      </c>
      <c r="K326" s="26">
        <f>IFERROR(VLOOKUP(B326,RadCompList!$P$3:$Q$6,2,FALSE)*H326,0)</f>
        <v>0</v>
      </c>
      <c r="L326" s="26" t="str">
        <f t="shared" ref="L326:L389" si="24">IF(H326&lt;32, "3/4",IF(H326&lt;56, "1", IF(H326&lt;124," 1 1/2",IF(H326&gt;124,"2"))))</f>
        <v>3/4</v>
      </c>
      <c r="M326" s="37">
        <f>Main!$G$8-0.0001306*N326^2 * F326*(1+3.6/VLOOKUP(L326,Calculations!$B$4:$F$15,2,FALSE))/(3600*Main!$C$7*VLOOKUP(L326,Calculations!$B$4:$F$15,2,FALSE)^5)</f>
        <v>0.14820436411902377</v>
      </c>
      <c r="N326" s="37">
        <f t="shared" si="22"/>
        <v>0</v>
      </c>
      <c r="O326" s="37">
        <f>IF(H326&lt;32,SteamProperties!$F$24*Radiators!F326,IF(H326&lt;56,SteamProperties!$F$25*Radiators!F326,SteamProperties!$F$26*Radiators!F326))</f>
        <v>0</v>
      </c>
      <c r="P326" s="37">
        <f>IF(H326&lt;32,Calculations!$F$5*Radiators!F326,IF(H326&lt;56,Calculations!$F$6*Radiators!F326,Calculations!$F$7*Radiators!F326))</f>
        <v>0</v>
      </c>
      <c r="Q326" s="37">
        <f t="shared" si="23"/>
        <v>0</v>
      </c>
    </row>
    <row r="327" spans="2:17">
      <c r="B327" s="33"/>
      <c r="C327" s="34"/>
      <c r="D327" s="34"/>
      <c r="E327" s="34"/>
      <c r="F327" s="34"/>
      <c r="G327" s="34"/>
      <c r="H327" s="34">
        <f>IFERROR(IF(B327="Column",INDEX(RadCompList!$C$4:$G$13,MATCH(C327,RadCompList!$B$4:$B$13),MATCH(Radiators!D327,RadCompList!$C$3:$G$3)),IF(B327="Tube",INDEX(RadCompList!$C$16:$I$22,MATCH(C327,RadCompList!$B$16:$B$22),MATCH(Radiators!D327,RadCompList!$C$15:$I$15)),IF(B327="Cast Rad/Conv",INDEX(RadCompList!$C$28:$D$28,MATCH(C327,RadCompList!$B$28),MATCH(Radiators!D327,RadCompList!$C$27:$D$27)),IF(B327="Copper Cabinet",(INDEX(RadCompList!$E$39:$J$78,MATCH(Radiators!D327,RadCompList!$D$39:$D$78,0),MATCH(C327,RadCompList!$E$38:$J$38,0))),0))))*E327,0)*$A$2</f>
        <v>0</v>
      </c>
      <c r="I327" s="34">
        <f t="shared" si="21"/>
        <v>0</v>
      </c>
      <c r="J327" s="35">
        <f>IFERROR(VLOOKUP(G327,VentList!$A$1:$D$198,2,FALSE),0)</f>
        <v>0</v>
      </c>
      <c r="K327" s="26">
        <f>IFERROR(VLOOKUP(B327,RadCompList!$P$3:$Q$6,2,FALSE)*H327,0)</f>
        <v>0</v>
      </c>
      <c r="L327" s="26" t="str">
        <f t="shared" si="24"/>
        <v>3/4</v>
      </c>
      <c r="M327" s="37">
        <f>Main!$G$8-0.0001306*N327^2 * F327*(1+3.6/VLOOKUP(L327,Calculations!$B$4:$F$15,2,FALSE))/(3600*Main!$C$7*VLOOKUP(L327,Calculations!$B$4:$F$15,2,FALSE)^5)</f>
        <v>0.14820436411902377</v>
      </c>
      <c r="N327" s="37">
        <f t="shared" si="22"/>
        <v>0</v>
      </c>
      <c r="O327" s="37">
        <f>IF(H327&lt;32,SteamProperties!$F$24*Radiators!F327,IF(H327&lt;56,SteamProperties!$F$25*Radiators!F327,SteamProperties!$F$26*Radiators!F327))</f>
        <v>0</v>
      </c>
      <c r="P327" s="37">
        <f>IF(H327&lt;32,Calculations!$F$5*Radiators!F327,IF(H327&lt;56,Calculations!$F$6*Radiators!F327,Calculations!$F$7*Radiators!F327))</f>
        <v>0</v>
      </c>
      <c r="Q327" s="37">
        <f t="shared" si="23"/>
        <v>0</v>
      </c>
    </row>
    <row r="328" spans="2:17">
      <c r="B328" s="33"/>
      <c r="C328" s="34"/>
      <c r="D328" s="34"/>
      <c r="E328" s="34"/>
      <c r="F328" s="34"/>
      <c r="G328" s="34"/>
      <c r="H328" s="34">
        <f>IFERROR(IF(B328="Column",INDEX(RadCompList!$C$4:$G$13,MATCH(C328,RadCompList!$B$4:$B$13),MATCH(Radiators!D328,RadCompList!$C$3:$G$3)),IF(B328="Tube",INDEX(RadCompList!$C$16:$I$22,MATCH(C328,RadCompList!$B$16:$B$22),MATCH(Radiators!D328,RadCompList!$C$15:$I$15)),IF(B328="Cast Rad/Conv",INDEX(RadCompList!$C$28:$D$28,MATCH(C328,RadCompList!$B$28),MATCH(Radiators!D328,RadCompList!$C$27:$D$27)),IF(B328="Copper Cabinet",(INDEX(RadCompList!$E$39:$J$78,MATCH(Radiators!D328,RadCompList!$D$39:$D$78,0),MATCH(C328,RadCompList!$E$38:$J$38,0))),0))))*E328,0)*$A$2</f>
        <v>0</v>
      </c>
      <c r="I328" s="34">
        <f t="shared" si="21"/>
        <v>0</v>
      </c>
      <c r="J328" s="35">
        <f>IFERROR(VLOOKUP(G328,VentList!$A$1:$D$198,2,FALSE),0)</f>
        <v>0</v>
      </c>
      <c r="K328" s="26">
        <f>IFERROR(VLOOKUP(B328,RadCompList!$P$3:$Q$6,2,FALSE)*H328,0)</f>
        <v>0</v>
      </c>
      <c r="L328" s="26" t="str">
        <f t="shared" si="24"/>
        <v>3/4</v>
      </c>
      <c r="M328" s="37">
        <f>Main!$G$8-0.0001306*N328^2 * F328*(1+3.6/VLOOKUP(L328,Calculations!$B$4:$F$15,2,FALSE))/(3600*Main!$C$7*VLOOKUP(L328,Calculations!$B$4:$F$15,2,FALSE)^5)</f>
        <v>0.14820436411902377</v>
      </c>
      <c r="N328" s="37">
        <f t="shared" si="22"/>
        <v>0</v>
      </c>
      <c r="O328" s="37">
        <f>IF(H328&lt;32,SteamProperties!$F$24*Radiators!F328,IF(H328&lt;56,SteamProperties!$F$25*Radiators!F328,SteamProperties!$F$26*Radiators!F328))</f>
        <v>0</v>
      </c>
      <c r="P328" s="37">
        <f>IF(H328&lt;32,Calculations!$F$5*Radiators!F328,IF(H328&lt;56,Calculations!$F$6*Radiators!F328,Calculations!$F$7*Radiators!F328))</f>
        <v>0</v>
      </c>
      <c r="Q328" s="37">
        <f t="shared" si="23"/>
        <v>0</v>
      </c>
    </row>
    <row r="329" spans="2:17">
      <c r="B329" s="33"/>
      <c r="C329" s="34"/>
      <c r="D329" s="34"/>
      <c r="E329" s="34"/>
      <c r="F329" s="34"/>
      <c r="G329" s="34"/>
      <c r="H329" s="34">
        <f>IFERROR(IF(B329="Column",INDEX(RadCompList!$C$4:$G$13,MATCH(C329,RadCompList!$B$4:$B$13),MATCH(Radiators!D329,RadCompList!$C$3:$G$3)),IF(B329="Tube",INDEX(RadCompList!$C$16:$I$22,MATCH(C329,RadCompList!$B$16:$B$22),MATCH(Radiators!D329,RadCompList!$C$15:$I$15)),IF(B329="Cast Rad/Conv",INDEX(RadCompList!$C$28:$D$28,MATCH(C329,RadCompList!$B$28),MATCH(Radiators!D329,RadCompList!$C$27:$D$27)),IF(B329="Copper Cabinet",(INDEX(RadCompList!$E$39:$J$78,MATCH(Radiators!D329,RadCompList!$D$39:$D$78,0),MATCH(C329,RadCompList!$E$38:$J$38,0))),0))))*E329,0)*$A$2</f>
        <v>0</v>
      </c>
      <c r="I329" s="34">
        <f t="shared" si="21"/>
        <v>0</v>
      </c>
      <c r="J329" s="35">
        <f>IFERROR(VLOOKUP(G329,VentList!$A$1:$D$198,2,FALSE),0)</f>
        <v>0</v>
      </c>
      <c r="K329" s="26">
        <f>IFERROR(VLOOKUP(B329,RadCompList!$P$3:$Q$6,2,FALSE)*H329,0)</f>
        <v>0</v>
      </c>
      <c r="L329" s="26" t="str">
        <f t="shared" si="24"/>
        <v>3/4</v>
      </c>
      <c r="M329" s="37">
        <f>Main!$G$8-0.0001306*N329^2 * F329*(1+3.6/VLOOKUP(L329,Calculations!$B$4:$F$15,2,FALSE))/(3600*Main!$C$7*VLOOKUP(L329,Calculations!$B$4:$F$15,2,FALSE)^5)</f>
        <v>0.14820436411902377</v>
      </c>
      <c r="N329" s="37">
        <f t="shared" si="22"/>
        <v>0</v>
      </c>
      <c r="O329" s="37">
        <f>IF(H329&lt;32,SteamProperties!$F$24*Radiators!F329,IF(H329&lt;56,SteamProperties!$F$25*Radiators!F329,SteamProperties!$F$26*Radiators!F329))</f>
        <v>0</v>
      </c>
      <c r="P329" s="37">
        <f>IF(H329&lt;32,Calculations!$F$5*Radiators!F329,IF(H329&lt;56,Calculations!$F$6*Radiators!F329,Calculations!$F$7*Radiators!F329))</f>
        <v>0</v>
      </c>
      <c r="Q329" s="37">
        <f t="shared" si="23"/>
        <v>0</v>
      </c>
    </row>
    <row r="330" spans="2:17">
      <c r="B330" s="33"/>
      <c r="C330" s="34"/>
      <c r="D330" s="34"/>
      <c r="E330" s="34"/>
      <c r="F330" s="34"/>
      <c r="G330" s="34"/>
      <c r="H330" s="34">
        <f>IFERROR(IF(B330="Column",INDEX(RadCompList!$C$4:$G$13,MATCH(C330,RadCompList!$B$4:$B$13),MATCH(Radiators!D330,RadCompList!$C$3:$G$3)),IF(B330="Tube",INDEX(RadCompList!$C$16:$I$22,MATCH(C330,RadCompList!$B$16:$B$22),MATCH(Radiators!D330,RadCompList!$C$15:$I$15)),IF(B330="Cast Rad/Conv",INDEX(RadCompList!$C$28:$D$28,MATCH(C330,RadCompList!$B$28),MATCH(Radiators!D330,RadCompList!$C$27:$D$27)),IF(B330="Copper Cabinet",(INDEX(RadCompList!$E$39:$J$78,MATCH(Radiators!D330,RadCompList!$D$39:$D$78,0),MATCH(C330,RadCompList!$E$38:$J$38,0))),0))))*E330,0)*$A$2</f>
        <v>0</v>
      </c>
      <c r="I330" s="34">
        <f t="shared" si="21"/>
        <v>0</v>
      </c>
      <c r="J330" s="35">
        <f>IFERROR(VLOOKUP(G330,VentList!$A$1:$D$198,2,FALSE),0)</f>
        <v>0</v>
      </c>
      <c r="K330" s="26">
        <f>IFERROR(VLOOKUP(B330,RadCompList!$P$3:$Q$6,2,FALSE)*H330,0)</f>
        <v>0</v>
      </c>
      <c r="L330" s="26" t="str">
        <f t="shared" si="24"/>
        <v>3/4</v>
      </c>
      <c r="M330" s="37">
        <f>Main!$G$8-0.0001306*N330^2 * F330*(1+3.6/VLOOKUP(L330,Calculations!$B$4:$F$15,2,FALSE))/(3600*Main!$C$7*VLOOKUP(L330,Calculations!$B$4:$F$15,2,FALSE)^5)</f>
        <v>0.14820436411902377</v>
      </c>
      <c r="N330" s="37">
        <f t="shared" si="22"/>
        <v>0</v>
      </c>
      <c r="O330" s="37">
        <f>IF(H330&lt;32,SteamProperties!$F$24*Radiators!F330,IF(H330&lt;56,SteamProperties!$F$25*Radiators!F330,SteamProperties!$F$26*Radiators!F330))</f>
        <v>0</v>
      </c>
      <c r="P330" s="37">
        <f>IF(H330&lt;32,Calculations!$F$5*Radiators!F330,IF(H330&lt;56,Calculations!$F$6*Radiators!F330,Calculations!$F$7*Radiators!F330))</f>
        <v>0</v>
      </c>
      <c r="Q330" s="37">
        <f t="shared" si="23"/>
        <v>0</v>
      </c>
    </row>
    <row r="331" spans="2:17">
      <c r="B331" s="33"/>
      <c r="C331" s="34"/>
      <c r="D331" s="34"/>
      <c r="E331" s="34"/>
      <c r="F331" s="34"/>
      <c r="G331" s="34"/>
      <c r="H331" s="34">
        <f>IFERROR(IF(B331="Column",INDEX(RadCompList!$C$4:$G$13,MATCH(C331,RadCompList!$B$4:$B$13),MATCH(Radiators!D331,RadCompList!$C$3:$G$3)),IF(B331="Tube",INDEX(RadCompList!$C$16:$I$22,MATCH(C331,RadCompList!$B$16:$B$22),MATCH(Radiators!D331,RadCompList!$C$15:$I$15)),IF(B331="Cast Rad/Conv",INDEX(RadCompList!$C$28:$D$28,MATCH(C331,RadCompList!$B$28),MATCH(Radiators!D331,RadCompList!$C$27:$D$27)),IF(B331="Copper Cabinet",(INDEX(RadCompList!$E$39:$J$78,MATCH(Radiators!D331,RadCompList!$D$39:$D$78,0),MATCH(C331,RadCompList!$E$38:$J$38,0))),0))))*E331,0)*$A$2</f>
        <v>0</v>
      </c>
      <c r="I331" s="34">
        <f t="shared" si="21"/>
        <v>0</v>
      </c>
      <c r="J331" s="35">
        <f>IFERROR(VLOOKUP(G331,VentList!$A$1:$D$198,2,FALSE),0)</f>
        <v>0</v>
      </c>
      <c r="K331" s="26">
        <f>IFERROR(VLOOKUP(B331,RadCompList!$P$3:$Q$6,2,FALSE)*H331,0)</f>
        <v>0</v>
      </c>
      <c r="L331" s="26" t="str">
        <f t="shared" si="24"/>
        <v>3/4</v>
      </c>
      <c r="M331" s="37">
        <f>Main!$G$8-0.0001306*N331^2 * F331*(1+3.6/VLOOKUP(L331,Calculations!$B$4:$F$15,2,FALSE))/(3600*Main!$C$7*VLOOKUP(L331,Calculations!$B$4:$F$15,2,FALSE)^5)</f>
        <v>0.14820436411902377</v>
      </c>
      <c r="N331" s="37">
        <f t="shared" si="22"/>
        <v>0</v>
      </c>
      <c r="O331" s="37">
        <f>IF(H331&lt;32,SteamProperties!$F$24*Radiators!F331,IF(H331&lt;56,SteamProperties!$F$25*Radiators!F331,SteamProperties!$F$26*Radiators!F331))</f>
        <v>0</v>
      </c>
      <c r="P331" s="37">
        <f>IF(H331&lt;32,Calculations!$F$5*Radiators!F331,IF(H331&lt;56,Calculations!$F$6*Radiators!F331,Calculations!$F$7*Radiators!F331))</f>
        <v>0</v>
      </c>
      <c r="Q331" s="37">
        <f t="shared" si="23"/>
        <v>0</v>
      </c>
    </row>
    <row r="332" spans="2:17">
      <c r="B332" s="33"/>
      <c r="C332" s="34"/>
      <c r="D332" s="34"/>
      <c r="E332" s="34"/>
      <c r="F332" s="34"/>
      <c r="G332" s="34"/>
      <c r="H332" s="34">
        <f>IFERROR(IF(B332="Column",INDEX(RadCompList!$C$4:$G$13,MATCH(C332,RadCompList!$B$4:$B$13),MATCH(Radiators!D332,RadCompList!$C$3:$G$3)),IF(B332="Tube",INDEX(RadCompList!$C$16:$I$22,MATCH(C332,RadCompList!$B$16:$B$22),MATCH(Radiators!D332,RadCompList!$C$15:$I$15)),IF(B332="Cast Rad/Conv",INDEX(RadCompList!$C$28:$D$28,MATCH(C332,RadCompList!$B$28),MATCH(Radiators!D332,RadCompList!$C$27:$D$27)),IF(B332="Copper Cabinet",(INDEX(RadCompList!$E$39:$J$78,MATCH(Radiators!D332,RadCompList!$D$39:$D$78,0),MATCH(C332,RadCompList!$E$38:$J$38,0))),0))))*E332,0)*$A$2</f>
        <v>0</v>
      </c>
      <c r="I332" s="34">
        <f t="shared" si="21"/>
        <v>0</v>
      </c>
      <c r="J332" s="35">
        <f>IFERROR(VLOOKUP(G332,VentList!$A$1:$D$198,2,FALSE),0)</f>
        <v>0</v>
      </c>
      <c r="K332" s="26">
        <f>IFERROR(VLOOKUP(B332,RadCompList!$P$3:$Q$6,2,FALSE)*H332,0)</f>
        <v>0</v>
      </c>
      <c r="L332" s="26" t="str">
        <f t="shared" si="24"/>
        <v>3/4</v>
      </c>
      <c r="M332" s="37">
        <f>Main!$G$8-0.0001306*N332^2 * F332*(1+3.6/VLOOKUP(L332,Calculations!$B$4:$F$15,2,FALSE))/(3600*Main!$C$7*VLOOKUP(L332,Calculations!$B$4:$F$15,2,FALSE)^5)</f>
        <v>0.14820436411902377</v>
      </c>
      <c r="N332" s="37">
        <f t="shared" si="22"/>
        <v>0</v>
      </c>
      <c r="O332" s="37">
        <f>IF(H332&lt;32,SteamProperties!$F$24*Radiators!F332,IF(H332&lt;56,SteamProperties!$F$25*Radiators!F332,SteamProperties!$F$26*Radiators!F332))</f>
        <v>0</v>
      </c>
      <c r="P332" s="37">
        <f>IF(H332&lt;32,Calculations!$F$5*Radiators!F332,IF(H332&lt;56,Calculations!$F$6*Radiators!F332,Calculations!$F$7*Radiators!F332))</f>
        <v>0</v>
      </c>
      <c r="Q332" s="37">
        <f t="shared" si="23"/>
        <v>0</v>
      </c>
    </row>
    <row r="333" spans="2:17">
      <c r="B333" s="33"/>
      <c r="C333" s="34"/>
      <c r="D333" s="34"/>
      <c r="E333" s="34"/>
      <c r="F333" s="34"/>
      <c r="G333" s="34"/>
      <c r="H333" s="34">
        <f>IFERROR(IF(B333="Column",INDEX(RadCompList!$C$4:$G$13,MATCH(C333,RadCompList!$B$4:$B$13),MATCH(Radiators!D333,RadCompList!$C$3:$G$3)),IF(B333="Tube",INDEX(RadCompList!$C$16:$I$22,MATCH(C333,RadCompList!$B$16:$B$22),MATCH(Radiators!D333,RadCompList!$C$15:$I$15)),IF(B333="Cast Rad/Conv",INDEX(RadCompList!$C$28:$D$28,MATCH(C333,RadCompList!$B$28),MATCH(Radiators!D333,RadCompList!$C$27:$D$27)),IF(B333="Copper Cabinet",(INDEX(RadCompList!$E$39:$J$78,MATCH(Radiators!D333,RadCompList!$D$39:$D$78,0),MATCH(C333,RadCompList!$E$38:$J$38,0))),0))))*E333,0)*$A$2</f>
        <v>0</v>
      </c>
      <c r="I333" s="34">
        <f t="shared" si="21"/>
        <v>0</v>
      </c>
      <c r="J333" s="35">
        <f>IFERROR(VLOOKUP(G333,VentList!$A$1:$D$198,2,FALSE),0)</f>
        <v>0</v>
      </c>
      <c r="K333" s="26">
        <f>IFERROR(VLOOKUP(B333,RadCompList!$P$3:$Q$6,2,FALSE)*H333,0)</f>
        <v>0</v>
      </c>
      <c r="L333" s="26" t="str">
        <f t="shared" si="24"/>
        <v>3/4</v>
      </c>
      <c r="M333" s="37">
        <f>Main!$G$8-0.0001306*N333^2 * F333*(1+3.6/VLOOKUP(L333,Calculations!$B$4:$F$15,2,FALSE))/(3600*Main!$C$7*VLOOKUP(L333,Calculations!$B$4:$F$15,2,FALSE)^5)</f>
        <v>0.14820436411902377</v>
      </c>
      <c r="N333" s="37">
        <f t="shared" si="22"/>
        <v>0</v>
      </c>
      <c r="O333" s="37">
        <f>IF(H333&lt;32,SteamProperties!$F$24*Radiators!F333,IF(H333&lt;56,SteamProperties!$F$25*Radiators!F333,SteamProperties!$F$26*Radiators!F333))</f>
        <v>0</v>
      </c>
      <c r="P333" s="37">
        <f>IF(H333&lt;32,Calculations!$F$5*Radiators!F333,IF(H333&lt;56,Calculations!$F$6*Radiators!F333,Calculations!$F$7*Radiators!F333))</f>
        <v>0</v>
      </c>
      <c r="Q333" s="37">
        <f t="shared" si="23"/>
        <v>0</v>
      </c>
    </row>
    <row r="334" spans="2:17">
      <c r="B334" s="33"/>
      <c r="C334" s="34"/>
      <c r="D334" s="34"/>
      <c r="E334" s="34"/>
      <c r="F334" s="34"/>
      <c r="G334" s="34"/>
      <c r="H334" s="34">
        <f>IFERROR(IF(B334="Column",INDEX(RadCompList!$C$4:$G$13,MATCH(C334,RadCompList!$B$4:$B$13),MATCH(Radiators!D334,RadCompList!$C$3:$G$3)),IF(B334="Tube",INDEX(RadCompList!$C$16:$I$22,MATCH(C334,RadCompList!$B$16:$B$22),MATCH(Radiators!D334,RadCompList!$C$15:$I$15)),IF(B334="Cast Rad/Conv",INDEX(RadCompList!$C$28:$D$28,MATCH(C334,RadCompList!$B$28),MATCH(Radiators!D334,RadCompList!$C$27:$D$27)),IF(B334="Copper Cabinet",(INDEX(RadCompList!$E$39:$J$78,MATCH(Radiators!D334,RadCompList!$D$39:$D$78,0),MATCH(C334,RadCompList!$E$38:$J$38,0))),0))))*E334,0)*$A$2</f>
        <v>0</v>
      </c>
      <c r="I334" s="34">
        <f t="shared" si="21"/>
        <v>0</v>
      </c>
      <c r="J334" s="35">
        <f>IFERROR(VLOOKUP(G334,VentList!$A$1:$D$198,2,FALSE),0)</f>
        <v>0</v>
      </c>
      <c r="K334" s="26">
        <f>IFERROR(VLOOKUP(B334,RadCompList!$P$3:$Q$6,2,FALSE)*H334,0)</f>
        <v>0</v>
      </c>
      <c r="L334" s="26" t="str">
        <f t="shared" si="24"/>
        <v>3/4</v>
      </c>
      <c r="M334" s="37">
        <f>Main!$G$8-0.0001306*N334^2 * F334*(1+3.6/VLOOKUP(L334,Calculations!$B$4:$F$15,2,FALSE))/(3600*Main!$C$7*VLOOKUP(L334,Calculations!$B$4:$F$15,2,FALSE)^5)</f>
        <v>0.14820436411902377</v>
      </c>
      <c r="N334" s="37">
        <f t="shared" si="22"/>
        <v>0</v>
      </c>
      <c r="O334" s="37">
        <f>IF(H334&lt;32,SteamProperties!$F$24*Radiators!F334,IF(H334&lt;56,SteamProperties!$F$25*Radiators!F334,SteamProperties!$F$26*Radiators!F334))</f>
        <v>0</v>
      </c>
      <c r="P334" s="37">
        <f>IF(H334&lt;32,Calculations!$F$5*Radiators!F334,IF(H334&lt;56,Calculations!$F$6*Radiators!F334,Calculations!$F$7*Radiators!F334))</f>
        <v>0</v>
      </c>
      <c r="Q334" s="37">
        <f t="shared" si="23"/>
        <v>0</v>
      </c>
    </row>
    <row r="335" spans="2:17">
      <c r="B335" s="33"/>
      <c r="C335" s="34"/>
      <c r="D335" s="34"/>
      <c r="E335" s="34"/>
      <c r="F335" s="34"/>
      <c r="G335" s="34"/>
      <c r="H335" s="34">
        <f>IFERROR(IF(B335="Column",INDEX(RadCompList!$C$4:$G$13,MATCH(C335,RadCompList!$B$4:$B$13),MATCH(Radiators!D335,RadCompList!$C$3:$G$3)),IF(B335="Tube",INDEX(RadCompList!$C$16:$I$22,MATCH(C335,RadCompList!$B$16:$B$22),MATCH(Radiators!D335,RadCompList!$C$15:$I$15)),IF(B335="Cast Rad/Conv",INDEX(RadCompList!$C$28:$D$28,MATCH(C335,RadCompList!$B$28),MATCH(Radiators!D335,RadCompList!$C$27:$D$27)),IF(B335="Copper Cabinet",(INDEX(RadCompList!$E$39:$J$78,MATCH(Radiators!D335,RadCompList!$D$39:$D$78,0),MATCH(C335,RadCompList!$E$38:$J$38,0))),0))))*E335,0)*$A$2</f>
        <v>0</v>
      </c>
      <c r="I335" s="34">
        <f t="shared" si="21"/>
        <v>0</v>
      </c>
      <c r="J335" s="35">
        <f>IFERROR(VLOOKUP(G335,VentList!$A$1:$D$198,2,FALSE),0)</f>
        <v>0</v>
      </c>
      <c r="K335" s="26">
        <f>IFERROR(VLOOKUP(B335,RadCompList!$P$3:$Q$6,2,FALSE)*H335,0)</f>
        <v>0</v>
      </c>
      <c r="L335" s="26" t="str">
        <f t="shared" si="24"/>
        <v>3/4</v>
      </c>
      <c r="M335" s="37">
        <f>Main!$G$8-0.0001306*N335^2 * F335*(1+3.6/VLOOKUP(L335,Calculations!$B$4:$F$15,2,FALSE))/(3600*Main!$C$7*VLOOKUP(L335,Calculations!$B$4:$F$15,2,FALSE)^5)</f>
        <v>0.14820436411902377</v>
      </c>
      <c r="N335" s="37">
        <f t="shared" si="22"/>
        <v>0</v>
      </c>
      <c r="O335" s="37">
        <f>IF(H335&lt;32,SteamProperties!$F$24*Radiators!F335,IF(H335&lt;56,SteamProperties!$F$25*Radiators!F335,SteamProperties!$F$26*Radiators!F335))</f>
        <v>0</v>
      </c>
      <c r="P335" s="37">
        <f>IF(H335&lt;32,Calculations!$F$5*Radiators!F335,IF(H335&lt;56,Calculations!$F$6*Radiators!F335,Calculations!$F$7*Radiators!F335))</f>
        <v>0</v>
      </c>
      <c r="Q335" s="37">
        <f t="shared" si="23"/>
        <v>0</v>
      </c>
    </row>
    <row r="336" spans="2:17">
      <c r="B336" s="33"/>
      <c r="C336" s="34"/>
      <c r="D336" s="34"/>
      <c r="E336" s="34"/>
      <c r="F336" s="34"/>
      <c r="G336" s="34"/>
      <c r="H336" s="34">
        <f>IFERROR(IF(B336="Column",INDEX(RadCompList!$C$4:$G$13,MATCH(C336,RadCompList!$B$4:$B$13),MATCH(Radiators!D336,RadCompList!$C$3:$G$3)),IF(B336="Tube",INDEX(RadCompList!$C$16:$I$22,MATCH(C336,RadCompList!$B$16:$B$22),MATCH(Radiators!D336,RadCompList!$C$15:$I$15)),IF(B336="Cast Rad/Conv",INDEX(RadCompList!$C$28:$D$28,MATCH(C336,RadCompList!$B$28),MATCH(Radiators!D336,RadCompList!$C$27:$D$27)),IF(B336="Copper Cabinet",(INDEX(RadCompList!$E$39:$J$78,MATCH(Radiators!D336,RadCompList!$D$39:$D$78,0),MATCH(C336,RadCompList!$E$38:$J$38,0))),0))))*E336,0)*$A$2</f>
        <v>0</v>
      </c>
      <c r="I336" s="34">
        <f t="shared" si="21"/>
        <v>0</v>
      </c>
      <c r="J336" s="35">
        <f>IFERROR(VLOOKUP(G336,VentList!$A$1:$D$198,2,FALSE),0)</f>
        <v>0</v>
      </c>
      <c r="K336" s="26">
        <f>IFERROR(VLOOKUP(B336,RadCompList!$P$3:$Q$6,2,FALSE)*H336,0)</f>
        <v>0</v>
      </c>
      <c r="L336" s="26" t="str">
        <f t="shared" si="24"/>
        <v>3/4</v>
      </c>
      <c r="M336" s="37">
        <f>Main!$G$8-0.0001306*N336^2 * F336*(1+3.6/VLOOKUP(L336,Calculations!$B$4:$F$15,2,FALSE))/(3600*Main!$C$7*VLOOKUP(L336,Calculations!$B$4:$F$15,2,FALSE)^5)</f>
        <v>0.14820436411902377</v>
      </c>
      <c r="N336" s="37">
        <f t="shared" si="22"/>
        <v>0</v>
      </c>
      <c r="O336" s="37">
        <f>IF(H336&lt;32,SteamProperties!$F$24*Radiators!F336,IF(H336&lt;56,SteamProperties!$F$25*Radiators!F336,SteamProperties!$F$26*Radiators!F336))</f>
        <v>0</v>
      </c>
      <c r="P336" s="37">
        <f>IF(H336&lt;32,Calculations!$F$5*Radiators!F336,IF(H336&lt;56,Calculations!$F$6*Radiators!F336,Calculations!$F$7*Radiators!F336))</f>
        <v>0</v>
      </c>
      <c r="Q336" s="37">
        <f t="shared" si="23"/>
        <v>0</v>
      </c>
    </row>
    <row r="337" spans="2:17">
      <c r="B337" s="33"/>
      <c r="C337" s="34"/>
      <c r="D337" s="34"/>
      <c r="E337" s="34"/>
      <c r="F337" s="34"/>
      <c r="G337" s="34"/>
      <c r="H337" s="34">
        <f>IFERROR(IF(B337="Column",INDEX(RadCompList!$C$4:$G$13,MATCH(C337,RadCompList!$B$4:$B$13),MATCH(Radiators!D337,RadCompList!$C$3:$G$3)),IF(B337="Tube",INDEX(RadCompList!$C$16:$I$22,MATCH(C337,RadCompList!$B$16:$B$22),MATCH(Radiators!D337,RadCompList!$C$15:$I$15)),IF(B337="Cast Rad/Conv",INDEX(RadCompList!$C$28:$D$28,MATCH(C337,RadCompList!$B$28),MATCH(Radiators!D337,RadCompList!$C$27:$D$27)),IF(B337="Copper Cabinet",(INDEX(RadCompList!$E$39:$J$78,MATCH(Radiators!D337,RadCompList!$D$39:$D$78,0),MATCH(C337,RadCompList!$E$38:$J$38,0))),0))))*E337,0)*$A$2</f>
        <v>0</v>
      </c>
      <c r="I337" s="34">
        <f t="shared" si="21"/>
        <v>0</v>
      </c>
      <c r="J337" s="35">
        <f>IFERROR(VLOOKUP(G337,VentList!$A$1:$D$198,2,FALSE),0)</f>
        <v>0</v>
      </c>
      <c r="K337" s="26">
        <f>IFERROR(VLOOKUP(B337,RadCompList!$P$3:$Q$6,2,FALSE)*H337,0)</f>
        <v>0</v>
      </c>
      <c r="L337" s="26" t="str">
        <f t="shared" si="24"/>
        <v>3/4</v>
      </c>
      <c r="M337" s="37">
        <f>Main!$G$8-0.0001306*N337^2 * F337*(1+3.6/VLOOKUP(L337,Calculations!$B$4:$F$15,2,FALSE))/(3600*Main!$C$7*VLOOKUP(L337,Calculations!$B$4:$F$15,2,FALSE)^5)</f>
        <v>0.14820436411902377</v>
      </c>
      <c r="N337" s="37">
        <f t="shared" si="22"/>
        <v>0</v>
      </c>
      <c r="O337" s="37">
        <f>IF(H337&lt;32,SteamProperties!$F$24*Radiators!F337,IF(H337&lt;56,SteamProperties!$F$25*Radiators!F337,SteamProperties!$F$26*Radiators!F337))</f>
        <v>0</v>
      </c>
      <c r="P337" s="37">
        <f>IF(H337&lt;32,Calculations!$F$5*Radiators!F337,IF(H337&lt;56,Calculations!$F$6*Radiators!F337,Calculations!$F$7*Radiators!F337))</f>
        <v>0</v>
      </c>
      <c r="Q337" s="37">
        <f t="shared" si="23"/>
        <v>0</v>
      </c>
    </row>
    <row r="338" spans="2:17">
      <c r="B338" s="33"/>
      <c r="C338" s="34"/>
      <c r="D338" s="34"/>
      <c r="E338" s="34"/>
      <c r="F338" s="34"/>
      <c r="G338" s="34"/>
      <c r="H338" s="34">
        <f>IFERROR(IF(B338="Column",INDEX(RadCompList!$C$4:$G$13,MATCH(C338,RadCompList!$B$4:$B$13),MATCH(Radiators!D338,RadCompList!$C$3:$G$3)),IF(B338="Tube",INDEX(RadCompList!$C$16:$I$22,MATCH(C338,RadCompList!$B$16:$B$22),MATCH(Radiators!D338,RadCompList!$C$15:$I$15)),IF(B338="Cast Rad/Conv",INDEX(RadCompList!$C$28:$D$28,MATCH(C338,RadCompList!$B$28),MATCH(Radiators!D338,RadCompList!$C$27:$D$27)),IF(B338="Copper Cabinet",(INDEX(RadCompList!$E$39:$J$78,MATCH(Radiators!D338,RadCompList!$D$39:$D$78,0),MATCH(C338,RadCompList!$E$38:$J$38,0))),0))))*E338,0)*$A$2</f>
        <v>0</v>
      </c>
      <c r="I338" s="34">
        <f t="shared" si="21"/>
        <v>0</v>
      </c>
      <c r="J338" s="35">
        <f>IFERROR(VLOOKUP(G338,VentList!$A$1:$D$198,2,FALSE),0)</f>
        <v>0</v>
      </c>
      <c r="K338" s="26">
        <f>IFERROR(VLOOKUP(B338,RadCompList!$P$3:$Q$6,2,FALSE)*H338,0)</f>
        <v>0</v>
      </c>
      <c r="L338" s="26" t="str">
        <f t="shared" si="24"/>
        <v>3/4</v>
      </c>
      <c r="M338" s="37">
        <f>Main!$G$8-0.0001306*N338^2 * F338*(1+3.6/VLOOKUP(L338,Calculations!$B$4:$F$15,2,FALSE))/(3600*Main!$C$7*VLOOKUP(L338,Calculations!$B$4:$F$15,2,FALSE)^5)</f>
        <v>0.14820436411902377</v>
      </c>
      <c r="N338" s="37">
        <f t="shared" si="22"/>
        <v>0</v>
      </c>
      <c r="O338" s="37">
        <f>IF(H338&lt;32,SteamProperties!$F$24*Radiators!F338,IF(H338&lt;56,SteamProperties!$F$25*Radiators!F338,SteamProperties!$F$26*Radiators!F338))</f>
        <v>0</v>
      </c>
      <c r="P338" s="37">
        <f>IF(H338&lt;32,Calculations!$F$5*Radiators!F338,IF(H338&lt;56,Calculations!$F$6*Radiators!F338,Calculations!$F$7*Radiators!F338))</f>
        <v>0</v>
      </c>
      <c r="Q338" s="37">
        <f t="shared" si="23"/>
        <v>0</v>
      </c>
    </row>
    <row r="339" spans="2:17">
      <c r="B339" s="33"/>
      <c r="C339" s="34"/>
      <c r="D339" s="34"/>
      <c r="E339" s="34"/>
      <c r="F339" s="34"/>
      <c r="G339" s="34"/>
      <c r="H339" s="34">
        <f>IFERROR(IF(B339="Column",INDEX(RadCompList!$C$4:$G$13,MATCH(C339,RadCompList!$B$4:$B$13),MATCH(Radiators!D339,RadCompList!$C$3:$G$3)),IF(B339="Tube",INDEX(RadCompList!$C$16:$I$22,MATCH(C339,RadCompList!$B$16:$B$22),MATCH(Radiators!D339,RadCompList!$C$15:$I$15)),IF(B339="Cast Rad/Conv",INDEX(RadCompList!$C$28:$D$28,MATCH(C339,RadCompList!$B$28),MATCH(Radiators!D339,RadCompList!$C$27:$D$27)),IF(B339="Copper Cabinet",(INDEX(RadCompList!$E$39:$J$78,MATCH(Radiators!D339,RadCompList!$D$39:$D$78,0),MATCH(C339,RadCompList!$E$38:$J$38,0))),0))))*E339,0)*$A$2</f>
        <v>0</v>
      </c>
      <c r="I339" s="34">
        <f t="shared" si="21"/>
        <v>0</v>
      </c>
      <c r="J339" s="35">
        <f>IFERROR(VLOOKUP(G339,VentList!$A$1:$D$198,2,FALSE),0)</f>
        <v>0</v>
      </c>
      <c r="K339" s="26">
        <f>IFERROR(VLOOKUP(B339,RadCompList!$P$3:$Q$6,2,FALSE)*H339,0)</f>
        <v>0</v>
      </c>
      <c r="L339" s="26" t="str">
        <f t="shared" si="24"/>
        <v>3/4</v>
      </c>
      <c r="M339" s="37">
        <f>Main!$G$8-0.0001306*N339^2 * F339*(1+3.6/VLOOKUP(L339,Calculations!$B$4:$F$15,2,FALSE))/(3600*Main!$C$7*VLOOKUP(L339,Calculations!$B$4:$F$15,2,FALSE)^5)</f>
        <v>0.14820436411902377</v>
      </c>
      <c r="N339" s="37">
        <f t="shared" si="22"/>
        <v>0</v>
      </c>
      <c r="O339" s="37">
        <f>IF(H339&lt;32,SteamProperties!$F$24*Radiators!F339,IF(H339&lt;56,SteamProperties!$F$25*Radiators!F339,SteamProperties!$F$26*Radiators!F339))</f>
        <v>0</v>
      </c>
      <c r="P339" s="37">
        <f>IF(H339&lt;32,Calculations!$F$5*Radiators!F339,IF(H339&lt;56,Calculations!$F$6*Radiators!F339,Calculations!$F$7*Radiators!F339))</f>
        <v>0</v>
      </c>
      <c r="Q339" s="37">
        <f t="shared" si="23"/>
        <v>0</v>
      </c>
    </row>
    <row r="340" spans="2:17">
      <c r="B340" s="33"/>
      <c r="C340" s="34"/>
      <c r="D340" s="34"/>
      <c r="E340" s="34"/>
      <c r="F340" s="34"/>
      <c r="G340" s="34"/>
      <c r="H340" s="34">
        <f>IFERROR(IF(B340="Column",INDEX(RadCompList!$C$4:$G$13,MATCH(C340,RadCompList!$B$4:$B$13),MATCH(Radiators!D340,RadCompList!$C$3:$G$3)),IF(B340="Tube",INDEX(RadCompList!$C$16:$I$22,MATCH(C340,RadCompList!$B$16:$B$22),MATCH(Radiators!D340,RadCompList!$C$15:$I$15)),IF(B340="Cast Rad/Conv",INDEX(RadCompList!$C$28:$D$28,MATCH(C340,RadCompList!$B$28),MATCH(Radiators!D340,RadCompList!$C$27:$D$27)),IF(B340="Copper Cabinet",(INDEX(RadCompList!$E$39:$J$78,MATCH(Radiators!D340,RadCompList!$D$39:$D$78,0),MATCH(C340,RadCompList!$E$38:$J$38,0))),0))))*E340,0)*$A$2</f>
        <v>0</v>
      </c>
      <c r="I340" s="34">
        <f t="shared" si="21"/>
        <v>0</v>
      </c>
      <c r="J340" s="35">
        <f>IFERROR(VLOOKUP(G340,VentList!$A$1:$D$198,2,FALSE),0)</f>
        <v>0</v>
      </c>
      <c r="K340" s="26">
        <f>IFERROR(VLOOKUP(B340,RadCompList!$P$3:$Q$6,2,FALSE)*H340,0)</f>
        <v>0</v>
      </c>
      <c r="L340" s="26" t="str">
        <f t="shared" si="24"/>
        <v>3/4</v>
      </c>
      <c r="M340" s="37">
        <f>Main!$G$8-0.0001306*N340^2 * F340*(1+3.6/VLOOKUP(L340,Calculations!$B$4:$F$15,2,FALSE))/(3600*Main!$C$7*VLOOKUP(L340,Calculations!$B$4:$F$15,2,FALSE)^5)</f>
        <v>0.14820436411902377</v>
      </c>
      <c r="N340" s="37">
        <f t="shared" si="22"/>
        <v>0</v>
      </c>
      <c r="O340" s="37">
        <f>IF(H340&lt;32,SteamProperties!$F$24*Radiators!F340,IF(H340&lt;56,SteamProperties!$F$25*Radiators!F340,SteamProperties!$F$26*Radiators!F340))</f>
        <v>0</v>
      </c>
      <c r="P340" s="37">
        <f>IF(H340&lt;32,Calculations!$F$5*Radiators!F340,IF(H340&lt;56,Calculations!$F$6*Radiators!F340,Calculations!$F$7*Radiators!F340))</f>
        <v>0</v>
      </c>
      <c r="Q340" s="37">
        <f t="shared" si="23"/>
        <v>0</v>
      </c>
    </row>
    <row r="341" spans="2:17">
      <c r="B341" s="33"/>
      <c r="C341" s="34"/>
      <c r="D341" s="34"/>
      <c r="E341" s="34"/>
      <c r="F341" s="34"/>
      <c r="G341" s="34"/>
      <c r="H341" s="34">
        <f>IFERROR(IF(B341="Column",INDEX(RadCompList!$C$4:$G$13,MATCH(C341,RadCompList!$B$4:$B$13),MATCH(Radiators!D341,RadCompList!$C$3:$G$3)),IF(B341="Tube",INDEX(RadCompList!$C$16:$I$22,MATCH(C341,RadCompList!$B$16:$B$22),MATCH(Radiators!D341,RadCompList!$C$15:$I$15)),IF(B341="Cast Rad/Conv",INDEX(RadCompList!$C$28:$D$28,MATCH(C341,RadCompList!$B$28),MATCH(Radiators!D341,RadCompList!$C$27:$D$27)),IF(B341="Copper Cabinet",(INDEX(RadCompList!$E$39:$J$78,MATCH(Radiators!D341,RadCompList!$D$39:$D$78,0),MATCH(C341,RadCompList!$E$38:$J$38,0))),0))))*E341,0)*$A$2</f>
        <v>0</v>
      </c>
      <c r="I341" s="34">
        <f t="shared" si="21"/>
        <v>0</v>
      </c>
      <c r="J341" s="35">
        <f>IFERROR(VLOOKUP(G341,VentList!$A$1:$D$198,2,FALSE),0)</f>
        <v>0</v>
      </c>
      <c r="K341" s="26">
        <f>IFERROR(VLOOKUP(B341,RadCompList!$P$3:$Q$6,2,FALSE)*H341,0)</f>
        <v>0</v>
      </c>
      <c r="L341" s="26" t="str">
        <f t="shared" si="24"/>
        <v>3/4</v>
      </c>
      <c r="M341" s="37">
        <f>Main!$G$8-0.0001306*N341^2 * F341*(1+3.6/VLOOKUP(L341,Calculations!$B$4:$F$15,2,FALSE))/(3600*Main!$C$7*VLOOKUP(L341,Calculations!$B$4:$F$15,2,FALSE)^5)</f>
        <v>0.14820436411902377</v>
      </c>
      <c r="N341" s="37">
        <f t="shared" si="22"/>
        <v>0</v>
      </c>
      <c r="O341" s="37">
        <f>IF(H341&lt;32,SteamProperties!$F$24*Radiators!F341,IF(H341&lt;56,SteamProperties!$F$25*Radiators!F341,SteamProperties!$F$26*Radiators!F341))</f>
        <v>0</v>
      </c>
      <c r="P341" s="37">
        <f>IF(H341&lt;32,Calculations!$F$5*Radiators!F341,IF(H341&lt;56,Calculations!$F$6*Radiators!F341,Calculations!$F$7*Radiators!F341))</f>
        <v>0</v>
      </c>
      <c r="Q341" s="37">
        <f t="shared" si="23"/>
        <v>0</v>
      </c>
    </row>
    <row r="342" spans="2:17">
      <c r="B342" s="33"/>
      <c r="C342" s="34"/>
      <c r="D342" s="34"/>
      <c r="E342" s="34"/>
      <c r="F342" s="34"/>
      <c r="G342" s="34"/>
      <c r="H342" s="34">
        <f>IFERROR(IF(B342="Column",INDEX(RadCompList!$C$4:$G$13,MATCH(C342,RadCompList!$B$4:$B$13),MATCH(Radiators!D342,RadCompList!$C$3:$G$3)),IF(B342="Tube",INDEX(RadCompList!$C$16:$I$22,MATCH(C342,RadCompList!$B$16:$B$22),MATCH(Radiators!D342,RadCompList!$C$15:$I$15)),IF(B342="Cast Rad/Conv",INDEX(RadCompList!$C$28:$D$28,MATCH(C342,RadCompList!$B$28),MATCH(Radiators!D342,RadCompList!$C$27:$D$27)),IF(B342="Copper Cabinet",(INDEX(RadCompList!$E$39:$J$78,MATCH(Radiators!D342,RadCompList!$D$39:$D$78,0),MATCH(C342,RadCompList!$E$38:$J$38,0))),0))))*E342,0)*$A$2</f>
        <v>0</v>
      </c>
      <c r="I342" s="34">
        <f t="shared" si="21"/>
        <v>0</v>
      </c>
      <c r="J342" s="35">
        <f>IFERROR(VLOOKUP(G342,VentList!$A$1:$D$198,2,FALSE),0)</f>
        <v>0</v>
      </c>
      <c r="K342" s="26">
        <f>IFERROR(VLOOKUP(B342,RadCompList!$P$3:$Q$6,2,FALSE)*H342,0)</f>
        <v>0</v>
      </c>
      <c r="L342" s="26" t="str">
        <f t="shared" si="24"/>
        <v>3/4</v>
      </c>
      <c r="M342" s="37">
        <f>Main!$G$8-0.0001306*N342^2 * F342*(1+3.6/VLOOKUP(L342,Calculations!$B$4:$F$15,2,FALSE))/(3600*Main!$C$7*VLOOKUP(L342,Calculations!$B$4:$F$15,2,FALSE)^5)</f>
        <v>0.14820436411902377</v>
      </c>
      <c r="N342" s="37">
        <f t="shared" si="22"/>
        <v>0</v>
      </c>
      <c r="O342" s="37">
        <f>IF(H342&lt;32,SteamProperties!$F$24*Radiators!F342,IF(H342&lt;56,SteamProperties!$F$25*Radiators!F342,SteamProperties!$F$26*Radiators!F342))</f>
        <v>0</v>
      </c>
      <c r="P342" s="37">
        <f>IF(H342&lt;32,Calculations!$F$5*Radiators!F342,IF(H342&lt;56,Calculations!$F$6*Radiators!F342,Calculations!$F$7*Radiators!F342))</f>
        <v>0</v>
      </c>
      <c r="Q342" s="37">
        <f t="shared" si="23"/>
        <v>0</v>
      </c>
    </row>
    <row r="343" spans="2:17">
      <c r="B343" s="33"/>
      <c r="C343" s="34"/>
      <c r="D343" s="34"/>
      <c r="E343" s="34"/>
      <c r="F343" s="34"/>
      <c r="G343" s="34"/>
      <c r="H343" s="34">
        <f>IFERROR(IF(B343="Column",INDEX(RadCompList!$C$4:$G$13,MATCH(C343,RadCompList!$B$4:$B$13),MATCH(Radiators!D343,RadCompList!$C$3:$G$3)),IF(B343="Tube",INDEX(RadCompList!$C$16:$I$22,MATCH(C343,RadCompList!$B$16:$B$22),MATCH(Radiators!D343,RadCompList!$C$15:$I$15)),IF(B343="Cast Rad/Conv",INDEX(RadCompList!$C$28:$D$28,MATCH(C343,RadCompList!$B$28),MATCH(Radiators!D343,RadCompList!$C$27:$D$27)),IF(B343="Copper Cabinet",(INDEX(RadCompList!$E$39:$J$78,MATCH(Radiators!D343,RadCompList!$D$39:$D$78,0),MATCH(C343,RadCompList!$E$38:$J$38,0))),0))))*E343,0)*$A$2</f>
        <v>0</v>
      </c>
      <c r="I343" s="34">
        <f t="shared" si="21"/>
        <v>0</v>
      </c>
      <c r="J343" s="35">
        <f>IFERROR(VLOOKUP(G343,VentList!$A$1:$D$198,2,FALSE),0)</f>
        <v>0</v>
      </c>
      <c r="K343" s="26">
        <f>IFERROR(VLOOKUP(B343,RadCompList!$P$3:$Q$6,2,FALSE)*H343,0)</f>
        <v>0</v>
      </c>
      <c r="L343" s="26" t="str">
        <f t="shared" si="24"/>
        <v>3/4</v>
      </c>
      <c r="M343" s="37">
        <f>Main!$G$8-0.0001306*N343^2 * F343*(1+3.6/VLOOKUP(L343,Calculations!$B$4:$F$15,2,FALSE))/(3600*Main!$C$7*VLOOKUP(L343,Calculations!$B$4:$F$15,2,FALSE)^5)</f>
        <v>0.14820436411902377</v>
      </c>
      <c r="N343" s="37">
        <f t="shared" si="22"/>
        <v>0</v>
      </c>
      <c r="O343" s="37">
        <f>IF(H343&lt;32,SteamProperties!$F$24*Radiators!F343,IF(H343&lt;56,SteamProperties!$F$25*Radiators!F343,SteamProperties!$F$26*Radiators!F343))</f>
        <v>0</v>
      </c>
      <c r="P343" s="37">
        <f>IF(H343&lt;32,Calculations!$F$5*Radiators!F343,IF(H343&lt;56,Calculations!$F$6*Radiators!F343,Calculations!$F$7*Radiators!F343))</f>
        <v>0</v>
      </c>
      <c r="Q343" s="37">
        <f t="shared" si="23"/>
        <v>0</v>
      </c>
    </row>
    <row r="344" spans="2:17">
      <c r="B344" s="33"/>
      <c r="C344" s="34"/>
      <c r="D344" s="34"/>
      <c r="E344" s="34"/>
      <c r="F344" s="34"/>
      <c r="G344" s="34"/>
      <c r="H344" s="34">
        <f>IFERROR(IF(B344="Column",INDEX(RadCompList!$C$4:$G$13,MATCH(C344,RadCompList!$B$4:$B$13),MATCH(Radiators!D344,RadCompList!$C$3:$G$3)),IF(B344="Tube",INDEX(RadCompList!$C$16:$I$22,MATCH(C344,RadCompList!$B$16:$B$22),MATCH(Radiators!D344,RadCompList!$C$15:$I$15)),IF(B344="Cast Rad/Conv",INDEX(RadCompList!$C$28:$D$28,MATCH(C344,RadCompList!$B$28),MATCH(Radiators!D344,RadCompList!$C$27:$D$27)),IF(B344="Copper Cabinet",(INDEX(RadCompList!$E$39:$J$78,MATCH(Radiators!D344,RadCompList!$D$39:$D$78,0),MATCH(C344,RadCompList!$E$38:$J$38,0))),0))))*E344,0)*$A$2</f>
        <v>0</v>
      </c>
      <c r="I344" s="34">
        <f t="shared" si="21"/>
        <v>0</v>
      </c>
      <c r="J344" s="35">
        <f>IFERROR(VLOOKUP(G344,VentList!$A$1:$D$198,2,FALSE),0)</f>
        <v>0</v>
      </c>
      <c r="K344" s="26">
        <f>IFERROR(VLOOKUP(B344,RadCompList!$P$3:$Q$6,2,FALSE)*H344,0)</f>
        <v>0</v>
      </c>
      <c r="L344" s="26" t="str">
        <f t="shared" si="24"/>
        <v>3/4</v>
      </c>
      <c r="M344" s="37">
        <f>Main!$G$8-0.0001306*N344^2 * F344*(1+3.6/VLOOKUP(L344,Calculations!$B$4:$F$15,2,FALSE))/(3600*Main!$C$7*VLOOKUP(L344,Calculations!$B$4:$F$15,2,FALSE)^5)</f>
        <v>0.14820436411902377</v>
      </c>
      <c r="N344" s="37">
        <f t="shared" si="22"/>
        <v>0</v>
      </c>
      <c r="O344" s="37">
        <f>IF(H344&lt;32,SteamProperties!$F$24*Radiators!F344,IF(H344&lt;56,SteamProperties!$F$25*Radiators!F344,SteamProperties!$F$26*Radiators!F344))</f>
        <v>0</v>
      </c>
      <c r="P344" s="37">
        <f>IF(H344&lt;32,Calculations!$F$5*Radiators!F344,IF(H344&lt;56,Calculations!$F$6*Radiators!F344,Calculations!$F$7*Radiators!F344))</f>
        <v>0</v>
      </c>
      <c r="Q344" s="37">
        <f t="shared" si="23"/>
        <v>0</v>
      </c>
    </row>
    <row r="345" spans="2:17">
      <c r="B345" s="33"/>
      <c r="C345" s="34"/>
      <c r="D345" s="34"/>
      <c r="E345" s="34"/>
      <c r="F345" s="34"/>
      <c r="G345" s="34"/>
      <c r="H345" s="34">
        <f>IFERROR(IF(B345="Column",INDEX(RadCompList!$C$4:$G$13,MATCH(C345,RadCompList!$B$4:$B$13),MATCH(Radiators!D345,RadCompList!$C$3:$G$3)),IF(B345="Tube",INDEX(RadCompList!$C$16:$I$22,MATCH(C345,RadCompList!$B$16:$B$22),MATCH(Radiators!D345,RadCompList!$C$15:$I$15)),IF(B345="Cast Rad/Conv",INDEX(RadCompList!$C$28:$D$28,MATCH(C345,RadCompList!$B$28),MATCH(Radiators!D345,RadCompList!$C$27:$D$27)),IF(B345="Copper Cabinet",(INDEX(RadCompList!$E$39:$J$78,MATCH(Radiators!D345,RadCompList!$D$39:$D$78,0),MATCH(C345,RadCompList!$E$38:$J$38,0))),0))))*E345,0)*$A$2</f>
        <v>0</v>
      </c>
      <c r="I345" s="34">
        <f t="shared" si="21"/>
        <v>0</v>
      </c>
      <c r="J345" s="35">
        <f>IFERROR(VLOOKUP(G345,VentList!$A$1:$D$198,2,FALSE),0)</f>
        <v>0</v>
      </c>
      <c r="K345" s="26">
        <f>IFERROR(VLOOKUP(B345,RadCompList!$P$3:$Q$6,2,FALSE)*H345,0)</f>
        <v>0</v>
      </c>
      <c r="L345" s="26" t="str">
        <f t="shared" si="24"/>
        <v>3/4</v>
      </c>
      <c r="M345" s="37">
        <f>Main!$G$8-0.0001306*N345^2 * F345*(1+3.6/VLOOKUP(L345,Calculations!$B$4:$F$15,2,FALSE))/(3600*Main!$C$7*VLOOKUP(L345,Calculations!$B$4:$F$15,2,FALSE)^5)</f>
        <v>0.14820436411902377</v>
      </c>
      <c r="N345" s="37">
        <f t="shared" si="22"/>
        <v>0</v>
      </c>
      <c r="O345" s="37">
        <f>IF(H345&lt;32,SteamProperties!$F$24*Radiators!F345,IF(H345&lt;56,SteamProperties!$F$25*Radiators!F345,SteamProperties!$F$26*Radiators!F345))</f>
        <v>0</v>
      </c>
      <c r="P345" s="37">
        <f>IF(H345&lt;32,Calculations!$F$5*Radiators!F345,IF(H345&lt;56,Calculations!$F$6*Radiators!F345,Calculations!$F$7*Radiators!F345))</f>
        <v>0</v>
      </c>
      <c r="Q345" s="37">
        <f t="shared" si="23"/>
        <v>0</v>
      </c>
    </row>
    <row r="346" spans="2:17">
      <c r="B346" s="33"/>
      <c r="C346" s="34"/>
      <c r="D346" s="34"/>
      <c r="E346" s="34"/>
      <c r="F346" s="34"/>
      <c r="G346" s="34"/>
      <c r="H346" s="34">
        <f>IFERROR(IF(B346="Column",INDEX(RadCompList!$C$4:$G$13,MATCH(C346,RadCompList!$B$4:$B$13),MATCH(Radiators!D346,RadCompList!$C$3:$G$3)),IF(B346="Tube",INDEX(RadCompList!$C$16:$I$22,MATCH(C346,RadCompList!$B$16:$B$22),MATCH(Radiators!D346,RadCompList!$C$15:$I$15)),IF(B346="Cast Rad/Conv",INDEX(RadCompList!$C$28:$D$28,MATCH(C346,RadCompList!$B$28),MATCH(Radiators!D346,RadCompList!$C$27:$D$27)),IF(B346="Copper Cabinet",(INDEX(RadCompList!$E$39:$J$78,MATCH(Radiators!D346,RadCompList!$D$39:$D$78,0),MATCH(C346,RadCompList!$E$38:$J$38,0))),0))))*E346,0)*$A$2</f>
        <v>0</v>
      </c>
      <c r="I346" s="34">
        <f t="shared" si="21"/>
        <v>0</v>
      </c>
      <c r="J346" s="35">
        <f>IFERROR(VLOOKUP(G346,VentList!$A$1:$D$198,2,FALSE),0)</f>
        <v>0</v>
      </c>
      <c r="K346" s="26">
        <f>IFERROR(VLOOKUP(B346,RadCompList!$P$3:$Q$6,2,FALSE)*H346,0)</f>
        <v>0</v>
      </c>
      <c r="L346" s="26" t="str">
        <f t="shared" si="24"/>
        <v>3/4</v>
      </c>
      <c r="M346" s="37">
        <f>Main!$G$8-0.0001306*N346^2 * F346*(1+3.6/VLOOKUP(L346,Calculations!$B$4:$F$15,2,FALSE))/(3600*Main!$C$7*VLOOKUP(L346,Calculations!$B$4:$F$15,2,FALSE)^5)</f>
        <v>0.14820436411902377</v>
      </c>
      <c r="N346" s="37">
        <f t="shared" si="22"/>
        <v>0</v>
      </c>
      <c r="O346" s="37">
        <f>IF(H346&lt;32,SteamProperties!$F$24*Radiators!F346,IF(H346&lt;56,SteamProperties!$F$25*Radiators!F346,SteamProperties!$F$26*Radiators!F346))</f>
        <v>0</v>
      </c>
      <c r="P346" s="37">
        <f>IF(H346&lt;32,Calculations!$F$5*Radiators!F346,IF(H346&lt;56,Calculations!$F$6*Radiators!F346,Calculations!$F$7*Radiators!F346))</f>
        <v>0</v>
      </c>
      <c r="Q346" s="37">
        <f t="shared" si="23"/>
        <v>0</v>
      </c>
    </row>
    <row r="347" spans="2:17">
      <c r="B347" s="33"/>
      <c r="C347" s="34"/>
      <c r="D347" s="34"/>
      <c r="E347" s="34"/>
      <c r="F347" s="34"/>
      <c r="G347" s="34"/>
      <c r="H347" s="34">
        <f>IFERROR(IF(B347="Column",INDEX(RadCompList!$C$4:$G$13,MATCH(C347,RadCompList!$B$4:$B$13),MATCH(Radiators!D347,RadCompList!$C$3:$G$3)),IF(B347="Tube",INDEX(RadCompList!$C$16:$I$22,MATCH(C347,RadCompList!$B$16:$B$22),MATCH(Radiators!D347,RadCompList!$C$15:$I$15)),IF(B347="Cast Rad/Conv",INDEX(RadCompList!$C$28:$D$28,MATCH(C347,RadCompList!$B$28),MATCH(Radiators!D347,RadCompList!$C$27:$D$27)),IF(B347="Copper Cabinet",(INDEX(RadCompList!$E$39:$J$78,MATCH(Radiators!D347,RadCompList!$D$39:$D$78,0),MATCH(C347,RadCompList!$E$38:$J$38,0))),0))))*E347,0)*$A$2</f>
        <v>0</v>
      </c>
      <c r="I347" s="34">
        <f t="shared" si="21"/>
        <v>0</v>
      </c>
      <c r="J347" s="35">
        <f>IFERROR(VLOOKUP(G347,VentList!$A$1:$D$198,2,FALSE),0)</f>
        <v>0</v>
      </c>
      <c r="K347" s="26">
        <f>IFERROR(VLOOKUP(B347,RadCompList!$P$3:$Q$6,2,FALSE)*H347,0)</f>
        <v>0</v>
      </c>
      <c r="L347" s="26" t="str">
        <f t="shared" si="24"/>
        <v>3/4</v>
      </c>
      <c r="M347" s="37">
        <f>Main!$G$8-0.0001306*N347^2 * F347*(1+3.6/VLOOKUP(L347,Calculations!$B$4:$F$15,2,FALSE))/(3600*Main!$C$7*VLOOKUP(L347,Calculations!$B$4:$F$15,2,FALSE)^5)</f>
        <v>0.14820436411902377</v>
      </c>
      <c r="N347" s="37">
        <f t="shared" si="22"/>
        <v>0</v>
      </c>
      <c r="O347" s="37">
        <f>IF(H347&lt;32,SteamProperties!$F$24*Radiators!F347,IF(H347&lt;56,SteamProperties!$F$25*Radiators!F347,SteamProperties!$F$26*Radiators!F347))</f>
        <v>0</v>
      </c>
      <c r="P347" s="37">
        <f>IF(H347&lt;32,Calculations!$F$5*Radiators!F347,IF(H347&lt;56,Calculations!$F$6*Radiators!F347,Calculations!$F$7*Radiators!F347))</f>
        <v>0</v>
      </c>
      <c r="Q347" s="37">
        <f t="shared" si="23"/>
        <v>0</v>
      </c>
    </row>
    <row r="348" spans="2:17">
      <c r="B348" s="33"/>
      <c r="C348" s="34"/>
      <c r="D348" s="34"/>
      <c r="E348" s="34"/>
      <c r="F348" s="34"/>
      <c r="G348" s="34"/>
      <c r="H348" s="34">
        <f>IFERROR(IF(B348="Column",INDEX(RadCompList!$C$4:$G$13,MATCH(C348,RadCompList!$B$4:$B$13),MATCH(Radiators!D348,RadCompList!$C$3:$G$3)),IF(B348="Tube",INDEX(RadCompList!$C$16:$I$22,MATCH(C348,RadCompList!$B$16:$B$22),MATCH(Radiators!D348,RadCompList!$C$15:$I$15)),IF(B348="Cast Rad/Conv",INDEX(RadCompList!$C$28:$D$28,MATCH(C348,RadCompList!$B$28),MATCH(Radiators!D348,RadCompList!$C$27:$D$27)),IF(B348="Copper Cabinet",(INDEX(RadCompList!$E$39:$J$78,MATCH(Radiators!D348,RadCompList!$D$39:$D$78,0),MATCH(C348,RadCompList!$E$38:$J$38,0))),0))))*E348,0)*$A$2</f>
        <v>0</v>
      </c>
      <c r="I348" s="34">
        <f t="shared" si="21"/>
        <v>0</v>
      </c>
      <c r="J348" s="35">
        <f>IFERROR(VLOOKUP(G348,VentList!$A$1:$D$198,2,FALSE),0)</f>
        <v>0</v>
      </c>
      <c r="K348" s="26">
        <f>IFERROR(VLOOKUP(B348,RadCompList!$P$3:$Q$6,2,FALSE)*H348,0)</f>
        <v>0</v>
      </c>
      <c r="L348" s="26" t="str">
        <f t="shared" si="24"/>
        <v>3/4</v>
      </c>
      <c r="M348" s="37">
        <f>Main!$G$8-0.0001306*N348^2 * F348*(1+3.6/VLOOKUP(L348,Calculations!$B$4:$F$15,2,FALSE))/(3600*Main!$C$7*VLOOKUP(L348,Calculations!$B$4:$F$15,2,FALSE)^5)</f>
        <v>0.14820436411902377</v>
      </c>
      <c r="N348" s="37">
        <f t="shared" si="22"/>
        <v>0</v>
      </c>
      <c r="O348" s="37">
        <f>IF(H348&lt;32,SteamProperties!$F$24*Radiators!F348,IF(H348&lt;56,SteamProperties!$F$25*Radiators!F348,SteamProperties!$F$26*Radiators!F348))</f>
        <v>0</v>
      </c>
      <c r="P348" s="37">
        <f>IF(H348&lt;32,Calculations!$F$5*Radiators!F348,IF(H348&lt;56,Calculations!$F$6*Radiators!F348,Calculations!$F$7*Radiators!F348))</f>
        <v>0</v>
      </c>
      <c r="Q348" s="37">
        <f t="shared" si="23"/>
        <v>0</v>
      </c>
    </row>
    <row r="349" spans="2:17">
      <c r="B349" s="33"/>
      <c r="C349" s="34"/>
      <c r="D349" s="34"/>
      <c r="E349" s="34"/>
      <c r="F349" s="34"/>
      <c r="G349" s="34"/>
      <c r="H349" s="34">
        <f>IFERROR(IF(B349="Column",INDEX(RadCompList!$C$4:$G$13,MATCH(C349,RadCompList!$B$4:$B$13),MATCH(Radiators!D349,RadCompList!$C$3:$G$3)),IF(B349="Tube",INDEX(RadCompList!$C$16:$I$22,MATCH(C349,RadCompList!$B$16:$B$22),MATCH(Radiators!D349,RadCompList!$C$15:$I$15)),IF(B349="Cast Rad/Conv",INDEX(RadCompList!$C$28:$D$28,MATCH(C349,RadCompList!$B$28),MATCH(Radiators!D349,RadCompList!$C$27:$D$27)),IF(B349="Copper Cabinet",(INDEX(RadCompList!$E$39:$J$78,MATCH(Radiators!D349,RadCompList!$D$39:$D$78,0),MATCH(C349,RadCompList!$E$38:$J$38,0))),0))))*E349,0)*$A$2</f>
        <v>0</v>
      </c>
      <c r="I349" s="34">
        <f t="shared" si="21"/>
        <v>0</v>
      </c>
      <c r="J349" s="35">
        <f>IFERROR(VLOOKUP(G349,VentList!$A$1:$D$198,2,FALSE),0)</f>
        <v>0</v>
      </c>
      <c r="K349" s="26">
        <f>IFERROR(VLOOKUP(B349,RadCompList!$P$3:$Q$6,2,FALSE)*H349,0)</f>
        <v>0</v>
      </c>
      <c r="L349" s="26" t="str">
        <f t="shared" si="24"/>
        <v>3/4</v>
      </c>
      <c r="M349" s="37">
        <f>Main!$G$8-0.0001306*N349^2 * F349*(1+3.6/VLOOKUP(L349,Calculations!$B$4:$F$15,2,FALSE))/(3600*Main!$C$7*VLOOKUP(L349,Calculations!$B$4:$F$15,2,FALSE)^5)</f>
        <v>0.14820436411902377</v>
      </c>
      <c r="N349" s="37">
        <f t="shared" si="22"/>
        <v>0</v>
      </c>
      <c r="O349" s="37">
        <f>IF(H349&lt;32,SteamProperties!$F$24*Radiators!F349,IF(H349&lt;56,SteamProperties!$F$25*Radiators!F349,SteamProperties!$F$26*Radiators!F349))</f>
        <v>0</v>
      </c>
      <c r="P349" s="37">
        <f>IF(H349&lt;32,Calculations!$F$5*Radiators!F349,IF(H349&lt;56,Calculations!$F$6*Radiators!F349,Calculations!$F$7*Radiators!F349))</f>
        <v>0</v>
      </c>
      <c r="Q349" s="37">
        <f t="shared" si="23"/>
        <v>0</v>
      </c>
    </row>
    <row r="350" spans="2:17">
      <c r="B350" s="33"/>
      <c r="C350" s="34"/>
      <c r="D350" s="34"/>
      <c r="E350" s="34"/>
      <c r="F350" s="34"/>
      <c r="G350" s="34"/>
      <c r="H350" s="34">
        <f>IFERROR(IF(B350="Column",INDEX(RadCompList!$C$4:$G$13,MATCH(C350,RadCompList!$B$4:$B$13),MATCH(Radiators!D350,RadCompList!$C$3:$G$3)),IF(B350="Tube",INDEX(RadCompList!$C$16:$I$22,MATCH(C350,RadCompList!$B$16:$B$22),MATCH(Radiators!D350,RadCompList!$C$15:$I$15)),IF(B350="Cast Rad/Conv",INDEX(RadCompList!$C$28:$D$28,MATCH(C350,RadCompList!$B$28),MATCH(Radiators!D350,RadCompList!$C$27:$D$27)),IF(B350="Copper Cabinet",(INDEX(RadCompList!$E$39:$J$78,MATCH(Radiators!D350,RadCompList!$D$39:$D$78,0),MATCH(C350,RadCompList!$E$38:$J$38,0))),0))))*E350,0)*$A$2</f>
        <v>0</v>
      </c>
      <c r="I350" s="34">
        <f t="shared" si="21"/>
        <v>0</v>
      </c>
      <c r="J350" s="35">
        <f>IFERROR(VLOOKUP(G350,VentList!$A$1:$D$198,2,FALSE),0)</f>
        <v>0</v>
      </c>
      <c r="K350" s="26">
        <f>IFERROR(VLOOKUP(B350,RadCompList!$P$3:$Q$6,2,FALSE)*H350,0)</f>
        <v>0</v>
      </c>
      <c r="L350" s="26" t="str">
        <f t="shared" si="24"/>
        <v>3/4</v>
      </c>
      <c r="M350" s="37">
        <f>Main!$G$8-0.0001306*N350^2 * F350*(1+3.6/VLOOKUP(L350,Calculations!$B$4:$F$15,2,FALSE))/(3600*Main!$C$7*VLOOKUP(L350,Calculations!$B$4:$F$15,2,FALSE)^5)</f>
        <v>0.14820436411902377</v>
      </c>
      <c r="N350" s="37">
        <f t="shared" si="22"/>
        <v>0</v>
      </c>
      <c r="O350" s="37">
        <f>IF(H350&lt;32,SteamProperties!$F$24*Radiators!F350,IF(H350&lt;56,SteamProperties!$F$25*Radiators!F350,SteamProperties!$F$26*Radiators!F350))</f>
        <v>0</v>
      </c>
      <c r="P350" s="37">
        <f>IF(H350&lt;32,Calculations!$F$5*Radiators!F350,IF(H350&lt;56,Calculations!$F$6*Radiators!F350,Calculations!$F$7*Radiators!F350))</f>
        <v>0</v>
      </c>
      <c r="Q350" s="37">
        <f t="shared" si="23"/>
        <v>0</v>
      </c>
    </row>
    <row r="351" spans="2:17">
      <c r="B351" s="33"/>
      <c r="C351" s="34"/>
      <c r="D351" s="34"/>
      <c r="E351" s="34"/>
      <c r="F351" s="34"/>
      <c r="G351" s="34"/>
      <c r="H351" s="34">
        <f>IFERROR(IF(B351="Column",INDEX(RadCompList!$C$4:$G$13,MATCH(C351,RadCompList!$B$4:$B$13),MATCH(Radiators!D351,RadCompList!$C$3:$G$3)),IF(B351="Tube",INDEX(RadCompList!$C$16:$I$22,MATCH(C351,RadCompList!$B$16:$B$22),MATCH(Radiators!D351,RadCompList!$C$15:$I$15)),IF(B351="Cast Rad/Conv",INDEX(RadCompList!$C$28:$D$28,MATCH(C351,RadCompList!$B$28),MATCH(Radiators!D351,RadCompList!$C$27:$D$27)),IF(B351="Copper Cabinet",(INDEX(RadCompList!$E$39:$J$78,MATCH(Radiators!D351,RadCompList!$D$39:$D$78,0),MATCH(C351,RadCompList!$E$38:$J$38,0))),0))))*E351,0)*$A$2</f>
        <v>0</v>
      </c>
      <c r="I351" s="34">
        <f t="shared" si="21"/>
        <v>0</v>
      </c>
      <c r="J351" s="35">
        <f>IFERROR(VLOOKUP(G351,VentList!$A$1:$D$198,2,FALSE),0)</f>
        <v>0</v>
      </c>
      <c r="K351" s="26">
        <f>IFERROR(VLOOKUP(B351,RadCompList!$P$3:$Q$6,2,FALSE)*H351,0)</f>
        <v>0</v>
      </c>
      <c r="L351" s="26" t="str">
        <f t="shared" si="24"/>
        <v>3/4</v>
      </c>
      <c r="M351" s="37">
        <f>Main!$G$8-0.0001306*N351^2 * F351*(1+3.6/VLOOKUP(L351,Calculations!$B$4:$F$15,2,FALSE))/(3600*Main!$C$7*VLOOKUP(L351,Calculations!$B$4:$F$15,2,FALSE)^5)</f>
        <v>0.14820436411902377</v>
      </c>
      <c r="N351" s="37">
        <f t="shared" si="22"/>
        <v>0</v>
      </c>
      <c r="O351" s="37">
        <f>IF(H351&lt;32,SteamProperties!$F$24*Radiators!F351,IF(H351&lt;56,SteamProperties!$F$25*Radiators!F351,SteamProperties!$F$26*Radiators!F351))</f>
        <v>0</v>
      </c>
      <c r="P351" s="37">
        <f>IF(H351&lt;32,Calculations!$F$5*Radiators!F351,IF(H351&lt;56,Calculations!$F$6*Radiators!F351,Calculations!$F$7*Radiators!F351))</f>
        <v>0</v>
      </c>
      <c r="Q351" s="37">
        <f t="shared" si="23"/>
        <v>0</v>
      </c>
    </row>
    <row r="352" spans="2:17">
      <c r="B352" s="33"/>
      <c r="C352" s="34"/>
      <c r="D352" s="34"/>
      <c r="E352" s="34"/>
      <c r="F352" s="34"/>
      <c r="G352" s="34"/>
      <c r="H352" s="34">
        <f>IFERROR(IF(B352="Column",INDEX(RadCompList!$C$4:$G$13,MATCH(C352,RadCompList!$B$4:$B$13),MATCH(Radiators!D352,RadCompList!$C$3:$G$3)),IF(B352="Tube",INDEX(RadCompList!$C$16:$I$22,MATCH(C352,RadCompList!$B$16:$B$22),MATCH(Radiators!D352,RadCompList!$C$15:$I$15)),IF(B352="Cast Rad/Conv",INDEX(RadCompList!$C$28:$D$28,MATCH(C352,RadCompList!$B$28),MATCH(Radiators!D352,RadCompList!$C$27:$D$27)),IF(B352="Copper Cabinet",(INDEX(RadCompList!$E$39:$J$78,MATCH(Radiators!D352,RadCompList!$D$39:$D$78,0),MATCH(C352,RadCompList!$E$38:$J$38,0))),0))))*E352,0)*$A$2</f>
        <v>0</v>
      </c>
      <c r="I352" s="34">
        <f t="shared" si="21"/>
        <v>0</v>
      </c>
      <c r="J352" s="35">
        <f>IFERROR(VLOOKUP(G352,VentList!$A$1:$D$198,2,FALSE),0)</f>
        <v>0</v>
      </c>
      <c r="K352" s="26">
        <f>IFERROR(VLOOKUP(B352,RadCompList!$P$3:$Q$6,2,FALSE)*H352,0)</f>
        <v>0</v>
      </c>
      <c r="L352" s="26" t="str">
        <f t="shared" si="24"/>
        <v>3/4</v>
      </c>
      <c r="M352" s="37">
        <f>Main!$G$8-0.0001306*N352^2 * F352*(1+3.6/VLOOKUP(L352,Calculations!$B$4:$F$15,2,FALSE))/(3600*Main!$C$7*VLOOKUP(L352,Calculations!$B$4:$F$15,2,FALSE)^5)</f>
        <v>0.14820436411902377</v>
      </c>
      <c r="N352" s="37">
        <f t="shared" si="22"/>
        <v>0</v>
      </c>
      <c r="O352" s="37">
        <f>IF(H352&lt;32,SteamProperties!$F$24*Radiators!F352,IF(H352&lt;56,SteamProperties!$F$25*Radiators!F352,SteamProperties!$F$26*Radiators!F352))</f>
        <v>0</v>
      </c>
      <c r="P352" s="37">
        <f>IF(H352&lt;32,Calculations!$F$5*Radiators!F352,IF(H352&lt;56,Calculations!$F$6*Radiators!F352,Calculations!$F$7*Radiators!F352))</f>
        <v>0</v>
      </c>
      <c r="Q352" s="37">
        <f t="shared" si="23"/>
        <v>0</v>
      </c>
    </row>
    <row r="353" spans="2:17">
      <c r="B353" s="33"/>
      <c r="C353" s="34"/>
      <c r="D353" s="34"/>
      <c r="E353" s="34"/>
      <c r="F353" s="34"/>
      <c r="G353" s="34"/>
      <c r="H353" s="34">
        <f>IFERROR(IF(B353="Column",INDEX(RadCompList!$C$4:$G$13,MATCH(C353,RadCompList!$B$4:$B$13),MATCH(Radiators!D353,RadCompList!$C$3:$G$3)),IF(B353="Tube",INDEX(RadCompList!$C$16:$I$22,MATCH(C353,RadCompList!$B$16:$B$22),MATCH(Radiators!D353,RadCompList!$C$15:$I$15)),IF(B353="Cast Rad/Conv",INDEX(RadCompList!$C$28:$D$28,MATCH(C353,RadCompList!$B$28),MATCH(Radiators!D353,RadCompList!$C$27:$D$27)),IF(B353="Copper Cabinet",(INDEX(RadCompList!$E$39:$J$78,MATCH(Radiators!D353,RadCompList!$D$39:$D$78,0),MATCH(C353,RadCompList!$E$38:$J$38,0))),0))))*E353,0)*$A$2</f>
        <v>0</v>
      </c>
      <c r="I353" s="34">
        <f t="shared" si="21"/>
        <v>0</v>
      </c>
      <c r="J353" s="35">
        <f>IFERROR(VLOOKUP(G353,VentList!$A$1:$D$198,2,FALSE),0)</f>
        <v>0</v>
      </c>
      <c r="K353" s="26">
        <f>IFERROR(VLOOKUP(B353,RadCompList!$P$3:$Q$6,2,FALSE)*H353,0)</f>
        <v>0</v>
      </c>
      <c r="L353" s="26" t="str">
        <f t="shared" si="24"/>
        <v>3/4</v>
      </c>
      <c r="M353" s="37">
        <f>Main!$G$8-0.0001306*N353^2 * F353*(1+3.6/VLOOKUP(L353,Calculations!$B$4:$F$15,2,FALSE))/(3600*Main!$C$7*VLOOKUP(L353,Calculations!$B$4:$F$15,2,FALSE)^5)</f>
        <v>0.14820436411902377</v>
      </c>
      <c r="N353" s="37">
        <f t="shared" si="22"/>
        <v>0</v>
      </c>
      <c r="O353" s="37">
        <f>IF(H353&lt;32,SteamProperties!$F$24*Radiators!F353,IF(H353&lt;56,SteamProperties!$F$25*Radiators!F353,SteamProperties!$F$26*Radiators!F353))</f>
        <v>0</v>
      </c>
      <c r="P353" s="37">
        <f>IF(H353&lt;32,Calculations!$F$5*Radiators!F353,IF(H353&lt;56,Calculations!$F$6*Radiators!F353,Calculations!$F$7*Radiators!F353))</f>
        <v>0</v>
      </c>
      <c r="Q353" s="37">
        <f t="shared" si="23"/>
        <v>0</v>
      </c>
    </row>
    <row r="354" spans="2:17">
      <c r="B354" s="33"/>
      <c r="C354" s="34"/>
      <c r="D354" s="34"/>
      <c r="E354" s="34"/>
      <c r="F354" s="34"/>
      <c r="G354" s="34"/>
      <c r="H354" s="34">
        <f>IFERROR(IF(B354="Column",INDEX(RadCompList!$C$4:$G$13,MATCH(C354,RadCompList!$B$4:$B$13),MATCH(Radiators!D354,RadCompList!$C$3:$G$3)),IF(B354="Tube",INDEX(RadCompList!$C$16:$I$22,MATCH(C354,RadCompList!$B$16:$B$22),MATCH(Radiators!D354,RadCompList!$C$15:$I$15)),IF(B354="Cast Rad/Conv",INDEX(RadCompList!$C$28:$D$28,MATCH(C354,RadCompList!$B$28),MATCH(Radiators!D354,RadCompList!$C$27:$D$27)),IF(B354="Copper Cabinet",(INDEX(RadCompList!$E$39:$J$78,MATCH(Radiators!D354,RadCompList!$D$39:$D$78,0),MATCH(C354,RadCompList!$E$38:$J$38,0))),0))))*E354,0)*$A$2</f>
        <v>0</v>
      </c>
      <c r="I354" s="34">
        <f t="shared" si="21"/>
        <v>0</v>
      </c>
      <c r="J354" s="35">
        <f>IFERROR(VLOOKUP(G354,VentList!$A$1:$D$198,2,FALSE),0)</f>
        <v>0</v>
      </c>
      <c r="K354" s="26">
        <f>IFERROR(VLOOKUP(B354,RadCompList!$P$3:$Q$6,2,FALSE)*H354,0)</f>
        <v>0</v>
      </c>
      <c r="L354" s="26" t="str">
        <f t="shared" si="24"/>
        <v>3/4</v>
      </c>
      <c r="M354" s="37">
        <f>Main!$G$8-0.0001306*N354^2 * F354*(1+3.6/VLOOKUP(L354,Calculations!$B$4:$F$15,2,FALSE))/(3600*Main!$C$7*VLOOKUP(L354,Calculations!$B$4:$F$15,2,FALSE)^5)</f>
        <v>0.14820436411902377</v>
      </c>
      <c r="N354" s="37">
        <f t="shared" si="22"/>
        <v>0</v>
      </c>
      <c r="O354" s="37">
        <f>IF(H354&lt;32,SteamProperties!$F$24*Radiators!F354,IF(H354&lt;56,SteamProperties!$F$25*Radiators!F354,SteamProperties!$F$26*Radiators!F354))</f>
        <v>0</v>
      </c>
      <c r="P354" s="37">
        <f>IF(H354&lt;32,Calculations!$F$5*Radiators!F354,IF(H354&lt;56,Calculations!$F$6*Radiators!F354,Calculations!$F$7*Radiators!F354))</f>
        <v>0</v>
      </c>
      <c r="Q354" s="37">
        <f t="shared" si="23"/>
        <v>0</v>
      </c>
    </row>
    <row r="355" spans="2:17">
      <c r="B355" s="33"/>
      <c r="C355" s="34"/>
      <c r="D355" s="34"/>
      <c r="E355" s="34"/>
      <c r="F355" s="34"/>
      <c r="G355" s="34"/>
      <c r="H355" s="34">
        <f>IFERROR(IF(B355="Column",INDEX(RadCompList!$C$4:$G$13,MATCH(C355,RadCompList!$B$4:$B$13),MATCH(Radiators!D355,RadCompList!$C$3:$G$3)),IF(B355="Tube",INDEX(RadCompList!$C$16:$I$22,MATCH(C355,RadCompList!$B$16:$B$22),MATCH(Radiators!D355,RadCompList!$C$15:$I$15)),IF(B355="Cast Rad/Conv",INDEX(RadCompList!$C$28:$D$28,MATCH(C355,RadCompList!$B$28),MATCH(Radiators!D355,RadCompList!$C$27:$D$27)),IF(B355="Copper Cabinet",(INDEX(RadCompList!$E$39:$J$78,MATCH(Radiators!D355,RadCompList!$D$39:$D$78,0),MATCH(C355,RadCompList!$E$38:$J$38,0))),0))))*E355,0)*$A$2</f>
        <v>0</v>
      </c>
      <c r="I355" s="34">
        <f t="shared" si="21"/>
        <v>0</v>
      </c>
      <c r="J355" s="35">
        <f>IFERROR(VLOOKUP(G355,VentList!$A$1:$D$198,2,FALSE),0)</f>
        <v>0</v>
      </c>
      <c r="K355" s="26">
        <f>IFERROR(VLOOKUP(B355,RadCompList!$P$3:$Q$6,2,FALSE)*H355,0)</f>
        <v>0</v>
      </c>
      <c r="L355" s="26" t="str">
        <f t="shared" si="24"/>
        <v>3/4</v>
      </c>
      <c r="M355" s="37">
        <f>Main!$G$8-0.0001306*N355^2 * F355*(1+3.6/VLOOKUP(L355,Calculations!$B$4:$F$15,2,FALSE))/(3600*Main!$C$7*VLOOKUP(L355,Calculations!$B$4:$F$15,2,FALSE)^5)</f>
        <v>0.14820436411902377</v>
      </c>
      <c r="N355" s="37">
        <f t="shared" si="22"/>
        <v>0</v>
      </c>
      <c r="O355" s="37">
        <f>IF(H355&lt;32,SteamProperties!$F$24*Radiators!F355,IF(H355&lt;56,SteamProperties!$F$25*Radiators!F355,SteamProperties!$F$26*Radiators!F355))</f>
        <v>0</v>
      </c>
      <c r="P355" s="37">
        <f>IF(H355&lt;32,Calculations!$F$5*Radiators!F355,IF(H355&lt;56,Calculations!$F$6*Radiators!F355,Calculations!$F$7*Radiators!F355))</f>
        <v>0</v>
      </c>
      <c r="Q355" s="37">
        <f t="shared" si="23"/>
        <v>0</v>
      </c>
    </row>
    <row r="356" spans="2:17">
      <c r="B356" s="33"/>
      <c r="C356" s="34"/>
      <c r="D356" s="34"/>
      <c r="E356" s="34"/>
      <c r="F356" s="34"/>
      <c r="G356" s="34"/>
      <c r="H356" s="34">
        <f>IFERROR(IF(B356="Column",INDEX(RadCompList!$C$4:$G$13,MATCH(C356,RadCompList!$B$4:$B$13),MATCH(Radiators!D356,RadCompList!$C$3:$G$3)),IF(B356="Tube",INDEX(RadCompList!$C$16:$I$22,MATCH(C356,RadCompList!$B$16:$B$22),MATCH(Radiators!D356,RadCompList!$C$15:$I$15)),IF(B356="Cast Rad/Conv",INDEX(RadCompList!$C$28:$D$28,MATCH(C356,RadCompList!$B$28),MATCH(Radiators!D356,RadCompList!$C$27:$D$27)),IF(B356="Copper Cabinet",(INDEX(RadCompList!$E$39:$J$78,MATCH(Radiators!D356,RadCompList!$D$39:$D$78,0),MATCH(C356,RadCompList!$E$38:$J$38,0))),0))))*E356,0)*$A$2</f>
        <v>0</v>
      </c>
      <c r="I356" s="34">
        <f t="shared" si="21"/>
        <v>0</v>
      </c>
      <c r="J356" s="35">
        <f>IFERROR(VLOOKUP(G356,VentList!$A$1:$D$198,2,FALSE),0)</f>
        <v>0</v>
      </c>
      <c r="K356" s="26">
        <f>IFERROR(VLOOKUP(B356,RadCompList!$P$3:$Q$6,2,FALSE)*H356,0)</f>
        <v>0</v>
      </c>
      <c r="L356" s="26" t="str">
        <f t="shared" si="24"/>
        <v>3/4</v>
      </c>
      <c r="M356" s="37">
        <f>Main!$G$8-0.0001306*N356^2 * F356*(1+3.6/VLOOKUP(L356,Calculations!$B$4:$F$15,2,FALSE))/(3600*Main!$C$7*VLOOKUP(L356,Calculations!$B$4:$F$15,2,FALSE)^5)</f>
        <v>0.14820436411902377</v>
      </c>
      <c r="N356" s="37">
        <f t="shared" si="22"/>
        <v>0</v>
      </c>
      <c r="O356" s="37">
        <f>IF(H356&lt;32,SteamProperties!$F$24*Radiators!F356,IF(H356&lt;56,SteamProperties!$F$25*Radiators!F356,SteamProperties!$F$26*Radiators!F356))</f>
        <v>0</v>
      </c>
      <c r="P356" s="37">
        <f>IF(H356&lt;32,Calculations!$F$5*Radiators!F356,IF(H356&lt;56,Calculations!$F$6*Radiators!F356,Calculations!$F$7*Radiators!F356))</f>
        <v>0</v>
      </c>
      <c r="Q356" s="37">
        <f t="shared" si="23"/>
        <v>0</v>
      </c>
    </row>
    <row r="357" spans="2:17">
      <c r="B357" s="33"/>
      <c r="C357" s="34"/>
      <c r="D357" s="34"/>
      <c r="E357" s="34"/>
      <c r="F357" s="34"/>
      <c r="G357" s="34"/>
      <c r="H357" s="34">
        <f>IFERROR(IF(B357="Column",INDEX(RadCompList!$C$4:$G$13,MATCH(C357,RadCompList!$B$4:$B$13),MATCH(Radiators!D357,RadCompList!$C$3:$G$3)),IF(B357="Tube",INDEX(RadCompList!$C$16:$I$22,MATCH(C357,RadCompList!$B$16:$B$22),MATCH(Radiators!D357,RadCompList!$C$15:$I$15)),IF(B357="Cast Rad/Conv",INDEX(RadCompList!$C$28:$D$28,MATCH(C357,RadCompList!$B$28),MATCH(Radiators!D357,RadCompList!$C$27:$D$27)),IF(B357="Copper Cabinet",(INDEX(RadCompList!$E$39:$J$78,MATCH(Radiators!D357,RadCompList!$D$39:$D$78,0),MATCH(C357,RadCompList!$E$38:$J$38,0))),0))))*E357,0)*$A$2</f>
        <v>0</v>
      </c>
      <c r="I357" s="34">
        <f t="shared" si="21"/>
        <v>0</v>
      </c>
      <c r="J357" s="35">
        <f>IFERROR(VLOOKUP(G357,VentList!$A$1:$D$198,2,FALSE),0)</f>
        <v>0</v>
      </c>
      <c r="K357" s="26">
        <f>IFERROR(VLOOKUP(B357,RadCompList!$P$3:$Q$6,2,FALSE)*H357,0)</f>
        <v>0</v>
      </c>
      <c r="L357" s="26" t="str">
        <f t="shared" si="24"/>
        <v>3/4</v>
      </c>
      <c r="M357" s="37">
        <f>Main!$G$8-0.0001306*N357^2 * F357*(1+3.6/VLOOKUP(L357,Calculations!$B$4:$F$15,2,FALSE))/(3600*Main!$C$7*VLOOKUP(L357,Calculations!$B$4:$F$15,2,FALSE)^5)</f>
        <v>0.14820436411902377</v>
      </c>
      <c r="N357" s="37">
        <f t="shared" si="22"/>
        <v>0</v>
      </c>
      <c r="O357" s="37">
        <f>IF(H357&lt;32,SteamProperties!$F$24*Radiators!F357,IF(H357&lt;56,SteamProperties!$F$25*Radiators!F357,SteamProperties!$F$26*Radiators!F357))</f>
        <v>0</v>
      </c>
      <c r="P357" s="37">
        <f>IF(H357&lt;32,Calculations!$F$5*Radiators!F357,IF(H357&lt;56,Calculations!$F$6*Radiators!F357,Calculations!$F$7*Radiators!F357))</f>
        <v>0</v>
      </c>
      <c r="Q357" s="37">
        <f t="shared" si="23"/>
        <v>0</v>
      </c>
    </row>
    <row r="358" spans="2:17">
      <c r="B358" s="33"/>
      <c r="C358" s="34"/>
      <c r="D358" s="34"/>
      <c r="E358" s="34"/>
      <c r="F358" s="34"/>
      <c r="G358" s="34"/>
      <c r="H358" s="34">
        <f>IFERROR(IF(B358="Column",INDEX(RadCompList!$C$4:$G$13,MATCH(C358,RadCompList!$B$4:$B$13),MATCH(Radiators!D358,RadCompList!$C$3:$G$3)),IF(B358="Tube",INDEX(RadCompList!$C$16:$I$22,MATCH(C358,RadCompList!$B$16:$B$22),MATCH(Radiators!D358,RadCompList!$C$15:$I$15)),IF(B358="Cast Rad/Conv",INDEX(RadCompList!$C$28:$D$28,MATCH(C358,RadCompList!$B$28),MATCH(Radiators!D358,RadCompList!$C$27:$D$27)),IF(B358="Copper Cabinet",(INDEX(RadCompList!$E$39:$J$78,MATCH(Radiators!D358,RadCompList!$D$39:$D$78,0),MATCH(C358,RadCompList!$E$38:$J$38,0))),0))))*E358,0)*$A$2</f>
        <v>0</v>
      </c>
      <c r="I358" s="34">
        <f t="shared" si="21"/>
        <v>0</v>
      </c>
      <c r="J358" s="35">
        <f>IFERROR(VLOOKUP(G358,VentList!$A$1:$D$198,2,FALSE),0)</f>
        <v>0</v>
      </c>
      <c r="K358" s="26">
        <f>IFERROR(VLOOKUP(B358,RadCompList!$P$3:$Q$6,2,FALSE)*H358,0)</f>
        <v>0</v>
      </c>
      <c r="L358" s="26" t="str">
        <f t="shared" si="24"/>
        <v>3/4</v>
      </c>
      <c r="M358" s="37">
        <f>Main!$G$8-0.0001306*N358^2 * F358*(1+3.6/VLOOKUP(L358,Calculations!$B$4:$F$15,2,FALSE))/(3600*Main!$C$7*VLOOKUP(L358,Calculations!$B$4:$F$15,2,FALSE)^5)</f>
        <v>0.14820436411902377</v>
      </c>
      <c r="N358" s="37">
        <f t="shared" si="22"/>
        <v>0</v>
      </c>
      <c r="O358" s="37">
        <f>IF(H358&lt;32,SteamProperties!$F$24*Radiators!F358,IF(H358&lt;56,SteamProperties!$F$25*Radiators!F358,SteamProperties!$F$26*Radiators!F358))</f>
        <v>0</v>
      </c>
      <c r="P358" s="37">
        <f>IF(H358&lt;32,Calculations!$F$5*Radiators!F358,IF(H358&lt;56,Calculations!$F$6*Radiators!F358,Calculations!$F$7*Radiators!F358))</f>
        <v>0</v>
      </c>
      <c r="Q358" s="37">
        <f t="shared" si="23"/>
        <v>0</v>
      </c>
    </row>
    <row r="359" spans="2:17">
      <c r="B359" s="33"/>
      <c r="C359" s="34"/>
      <c r="D359" s="34"/>
      <c r="E359" s="34"/>
      <c r="F359" s="34"/>
      <c r="G359" s="34"/>
      <c r="H359" s="34">
        <f>IFERROR(IF(B359="Column",INDEX(RadCompList!$C$4:$G$13,MATCH(C359,RadCompList!$B$4:$B$13),MATCH(Radiators!D359,RadCompList!$C$3:$G$3)),IF(B359="Tube",INDEX(RadCompList!$C$16:$I$22,MATCH(C359,RadCompList!$B$16:$B$22),MATCH(Radiators!D359,RadCompList!$C$15:$I$15)),IF(B359="Cast Rad/Conv",INDEX(RadCompList!$C$28:$D$28,MATCH(C359,RadCompList!$B$28),MATCH(Radiators!D359,RadCompList!$C$27:$D$27)),IF(B359="Copper Cabinet",(INDEX(RadCompList!$E$39:$J$78,MATCH(Radiators!D359,RadCompList!$D$39:$D$78,0),MATCH(C359,RadCompList!$E$38:$J$38,0))),0))))*E359,0)*$A$2</f>
        <v>0</v>
      </c>
      <c r="I359" s="34">
        <f t="shared" si="21"/>
        <v>0</v>
      </c>
      <c r="J359" s="35">
        <f>IFERROR(VLOOKUP(G359,VentList!$A$1:$D$198,2,FALSE),0)</f>
        <v>0</v>
      </c>
      <c r="K359" s="26">
        <f>IFERROR(VLOOKUP(B359,RadCompList!$P$3:$Q$6,2,FALSE)*H359,0)</f>
        <v>0</v>
      </c>
      <c r="L359" s="26" t="str">
        <f t="shared" si="24"/>
        <v>3/4</v>
      </c>
      <c r="M359" s="37">
        <f>Main!$G$8-0.0001306*N359^2 * F359*(1+3.6/VLOOKUP(L359,Calculations!$B$4:$F$15,2,FALSE))/(3600*Main!$C$7*VLOOKUP(L359,Calculations!$B$4:$F$15,2,FALSE)^5)</f>
        <v>0.14820436411902377</v>
      </c>
      <c r="N359" s="37">
        <f t="shared" si="22"/>
        <v>0</v>
      </c>
      <c r="O359" s="37">
        <f>IF(H359&lt;32,SteamProperties!$F$24*Radiators!F359,IF(H359&lt;56,SteamProperties!$F$25*Radiators!F359,SteamProperties!$F$26*Radiators!F359))</f>
        <v>0</v>
      </c>
      <c r="P359" s="37">
        <f>IF(H359&lt;32,Calculations!$F$5*Radiators!F359,IF(H359&lt;56,Calculations!$F$6*Radiators!F359,Calculations!$F$7*Radiators!F359))</f>
        <v>0</v>
      </c>
      <c r="Q359" s="37">
        <f t="shared" si="23"/>
        <v>0</v>
      </c>
    </row>
    <row r="360" spans="2:17">
      <c r="B360" s="33"/>
      <c r="C360" s="34"/>
      <c r="D360" s="34"/>
      <c r="E360" s="34"/>
      <c r="F360" s="34"/>
      <c r="G360" s="34"/>
      <c r="H360" s="34">
        <f>IFERROR(IF(B360="Column",INDEX(RadCompList!$C$4:$G$13,MATCH(C360,RadCompList!$B$4:$B$13),MATCH(Radiators!D360,RadCompList!$C$3:$G$3)),IF(B360="Tube",INDEX(RadCompList!$C$16:$I$22,MATCH(C360,RadCompList!$B$16:$B$22),MATCH(Radiators!D360,RadCompList!$C$15:$I$15)),IF(B360="Cast Rad/Conv",INDEX(RadCompList!$C$28:$D$28,MATCH(C360,RadCompList!$B$28),MATCH(Radiators!D360,RadCompList!$C$27:$D$27)),IF(B360="Copper Cabinet",(INDEX(RadCompList!$E$39:$J$78,MATCH(Radiators!D360,RadCompList!$D$39:$D$78,0),MATCH(C360,RadCompList!$E$38:$J$38,0))),0))))*E360,0)*$A$2</f>
        <v>0</v>
      </c>
      <c r="I360" s="34">
        <f t="shared" si="21"/>
        <v>0</v>
      </c>
      <c r="J360" s="35">
        <f>IFERROR(VLOOKUP(G360,VentList!$A$1:$D$198,2,FALSE),0)</f>
        <v>0</v>
      </c>
      <c r="K360" s="26">
        <f>IFERROR(VLOOKUP(B360,RadCompList!$P$3:$Q$6,2,FALSE)*H360,0)</f>
        <v>0</v>
      </c>
      <c r="L360" s="26" t="str">
        <f t="shared" si="24"/>
        <v>3/4</v>
      </c>
      <c r="M360" s="37">
        <f>Main!$G$8-0.0001306*N360^2 * F360*(1+3.6/VLOOKUP(L360,Calculations!$B$4:$F$15,2,FALSE))/(3600*Main!$C$7*VLOOKUP(L360,Calculations!$B$4:$F$15,2,FALSE)^5)</f>
        <v>0.14820436411902377</v>
      </c>
      <c r="N360" s="37">
        <f t="shared" si="22"/>
        <v>0</v>
      </c>
      <c r="O360" s="37">
        <f>IF(H360&lt;32,SteamProperties!$F$24*Radiators!F360,IF(H360&lt;56,SteamProperties!$F$25*Radiators!F360,SteamProperties!$F$26*Radiators!F360))</f>
        <v>0</v>
      </c>
      <c r="P360" s="37">
        <f>IF(H360&lt;32,Calculations!$F$5*Radiators!F360,IF(H360&lt;56,Calculations!$F$6*Radiators!F360,Calculations!$F$7*Radiators!F360))</f>
        <v>0</v>
      </c>
      <c r="Q360" s="37">
        <f t="shared" si="23"/>
        <v>0</v>
      </c>
    </row>
    <row r="361" spans="2:17">
      <c r="B361" s="33"/>
      <c r="C361" s="34"/>
      <c r="D361" s="34"/>
      <c r="E361" s="34"/>
      <c r="F361" s="34"/>
      <c r="G361" s="34"/>
      <c r="H361" s="34">
        <f>IFERROR(IF(B361="Column",INDEX(RadCompList!$C$4:$G$13,MATCH(C361,RadCompList!$B$4:$B$13),MATCH(Radiators!D361,RadCompList!$C$3:$G$3)),IF(B361="Tube",INDEX(RadCompList!$C$16:$I$22,MATCH(C361,RadCompList!$B$16:$B$22),MATCH(Radiators!D361,RadCompList!$C$15:$I$15)),IF(B361="Cast Rad/Conv",INDEX(RadCompList!$C$28:$D$28,MATCH(C361,RadCompList!$B$28),MATCH(Radiators!D361,RadCompList!$C$27:$D$27)),IF(B361="Copper Cabinet",(INDEX(RadCompList!$E$39:$J$78,MATCH(Radiators!D361,RadCompList!$D$39:$D$78,0),MATCH(C361,RadCompList!$E$38:$J$38,0))),0))))*E361,0)*$A$2</f>
        <v>0</v>
      </c>
      <c r="I361" s="34">
        <f t="shared" si="21"/>
        <v>0</v>
      </c>
      <c r="J361" s="35">
        <f>IFERROR(VLOOKUP(G361,VentList!$A$1:$D$198,2,FALSE),0)</f>
        <v>0</v>
      </c>
      <c r="K361" s="26">
        <f>IFERROR(VLOOKUP(B361,RadCompList!$P$3:$Q$6,2,FALSE)*H361,0)</f>
        <v>0</v>
      </c>
      <c r="L361" s="26" t="str">
        <f t="shared" si="24"/>
        <v>3/4</v>
      </c>
      <c r="M361" s="37">
        <f>Main!$G$8-0.0001306*N361^2 * F361*(1+3.6/VLOOKUP(L361,Calculations!$B$4:$F$15,2,FALSE))/(3600*Main!$C$7*VLOOKUP(L361,Calculations!$B$4:$F$15,2,FALSE)^5)</f>
        <v>0.14820436411902377</v>
      </c>
      <c r="N361" s="37">
        <f t="shared" si="22"/>
        <v>0</v>
      </c>
      <c r="O361" s="37">
        <f>IF(H361&lt;32,SteamProperties!$F$24*Radiators!F361,IF(H361&lt;56,SteamProperties!$F$25*Radiators!F361,SteamProperties!$F$26*Radiators!F361))</f>
        <v>0</v>
      </c>
      <c r="P361" s="37">
        <f>IF(H361&lt;32,Calculations!$F$5*Radiators!F361,IF(H361&lt;56,Calculations!$F$6*Radiators!F361,Calculations!$F$7*Radiators!F361))</f>
        <v>0</v>
      </c>
      <c r="Q361" s="37">
        <f t="shared" si="23"/>
        <v>0</v>
      </c>
    </row>
    <row r="362" spans="2:17">
      <c r="B362" s="33"/>
      <c r="C362" s="34"/>
      <c r="D362" s="34"/>
      <c r="E362" s="34"/>
      <c r="F362" s="34"/>
      <c r="G362" s="34"/>
      <c r="H362" s="34">
        <f>IFERROR(IF(B362="Column",INDEX(RadCompList!$C$4:$G$13,MATCH(C362,RadCompList!$B$4:$B$13),MATCH(Radiators!D362,RadCompList!$C$3:$G$3)),IF(B362="Tube",INDEX(RadCompList!$C$16:$I$22,MATCH(C362,RadCompList!$B$16:$B$22),MATCH(Radiators!D362,RadCompList!$C$15:$I$15)),IF(B362="Cast Rad/Conv",INDEX(RadCompList!$C$28:$D$28,MATCH(C362,RadCompList!$B$28),MATCH(Radiators!D362,RadCompList!$C$27:$D$27)),IF(B362="Copper Cabinet",(INDEX(RadCompList!$E$39:$J$78,MATCH(Radiators!D362,RadCompList!$D$39:$D$78,0),MATCH(C362,RadCompList!$E$38:$J$38,0))),0))))*E362,0)*$A$2</f>
        <v>0</v>
      </c>
      <c r="I362" s="34">
        <f t="shared" si="21"/>
        <v>0</v>
      </c>
      <c r="J362" s="35">
        <f>IFERROR(VLOOKUP(G362,VentList!$A$1:$D$198,2,FALSE),0)</f>
        <v>0</v>
      </c>
      <c r="K362" s="26">
        <f>IFERROR(VLOOKUP(B362,RadCompList!$P$3:$Q$6,2,FALSE)*H362,0)</f>
        <v>0</v>
      </c>
      <c r="L362" s="26" t="str">
        <f t="shared" si="24"/>
        <v>3/4</v>
      </c>
      <c r="M362" s="37">
        <f>Main!$G$8-0.0001306*N362^2 * F362*(1+3.6/VLOOKUP(L362,Calculations!$B$4:$F$15,2,FALSE))/(3600*Main!$C$7*VLOOKUP(L362,Calculations!$B$4:$F$15,2,FALSE)^5)</f>
        <v>0.14820436411902377</v>
      </c>
      <c r="N362" s="37">
        <f t="shared" si="22"/>
        <v>0</v>
      </c>
      <c r="O362" s="37">
        <f>IF(H362&lt;32,SteamProperties!$F$24*Radiators!F362,IF(H362&lt;56,SteamProperties!$F$25*Radiators!F362,SteamProperties!$F$26*Radiators!F362))</f>
        <v>0</v>
      </c>
      <c r="P362" s="37">
        <f>IF(H362&lt;32,Calculations!$F$5*Radiators!F362,IF(H362&lt;56,Calculations!$F$6*Radiators!F362,Calculations!$F$7*Radiators!F362))</f>
        <v>0</v>
      </c>
      <c r="Q362" s="37">
        <f t="shared" si="23"/>
        <v>0</v>
      </c>
    </row>
    <row r="363" spans="2:17">
      <c r="B363" s="33"/>
      <c r="C363" s="34"/>
      <c r="D363" s="34"/>
      <c r="E363" s="34"/>
      <c r="F363" s="34"/>
      <c r="G363" s="34"/>
      <c r="H363" s="34">
        <f>IFERROR(IF(B363="Column",INDEX(RadCompList!$C$4:$G$13,MATCH(C363,RadCompList!$B$4:$B$13),MATCH(Radiators!D363,RadCompList!$C$3:$G$3)),IF(B363="Tube",INDEX(RadCompList!$C$16:$I$22,MATCH(C363,RadCompList!$B$16:$B$22),MATCH(Radiators!D363,RadCompList!$C$15:$I$15)),IF(B363="Cast Rad/Conv",INDEX(RadCompList!$C$28:$D$28,MATCH(C363,RadCompList!$B$28),MATCH(Radiators!D363,RadCompList!$C$27:$D$27)),IF(B363="Copper Cabinet",(INDEX(RadCompList!$E$39:$J$78,MATCH(Radiators!D363,RadCompList!$D$39:$D$78,0),MATCH(C363,RadCompList!$E$38:$J$38,0))),0))))*E363,0)*$A$2</f>
        <v>0</v>
      </c>
      <c r="I363" s="34">
        <f t="shared" si="21"/>
        <v>0</v>
      </c>
      <c r="J363" s="35">
        <f>IFERROR(VLOOKUP(G363,VentList!$A$1:$D$198,2,FALSE),0)</f>
        <v>0</v>
      </c>
      <c r="K363" s="26">
        <f>IFERROR(VLOOKUP(B363,RadCompList!$P$3:$Q$6,2,FALSE)*H363,0)</f>
        <v>0</v>
      </c>
      <c r="L363" s="26" t="str">
        <f t="shared" si="24"/>
        <v>3/4</v>
      </c>
      <c r="M363" s="37">
        <f>Main!$G$8-0.0001306*N363^2 * F363*(1+3.6/VLOOKUP(L363,Calculations!$B$4:$F$15,2,FALSE))/(3600*Main!$C$7*VLOOKUP(L363,Calculations!$B$4:$F$15,2,FALSE)^5)</f>
        <v>0.14820436411902377</v>
      </c>
      <c r="N363" s="37">
        <f t="shared" si="22"/>
        <v>0</v>
      </c>
      <c r="O363" s="37">
        <f>IF(H363&lt;32,SteamProperties!$F$24*Radiators!F363,IF(H363&lt;56,SteamProperties!$F$25*Radiators!F363,SteamProperties!$F$26*Radiators!F363))</f>
        <v>0</v>
      </c>
      <c r="P363" s="37">
        <f>IF(H363&lt;32,Calculations!$F$5*Radiators!F363,IF(H363&lt;56,Calculations!$F$6*Radiators!F363,Calculations!$F$7*Radiators!F363))</f>
        <v>0</v>
      </c>
      <c r="Q363" s="37">
        <f t="shared" si="23"/>
        <v>0</v>
      </c>
    </row>
    <row r="364" spans="2:17">
      <c r="B364" s="33"/>
      <c r="C364" s="34"/>
      <c r="D364" s="34"/>
      <c r="E364" s="34"/>
      <c r="F364" s="34"/>
      <c r="G364" s="34"/>
      <c r="H364" s="34">
        <f>IFERROR(IF(B364="Column",INDEX(RadCompList!$C$4:$G$13,MATCH(C364,RadCompList!$B$4:$B$13),MATCH(Radiators!D364,RadCompList!$C$3:$G$3)),IF(B364="Tube",INDEX(RadCompList!$C$16:$I$22,MATCH(C364,RadCompList!$B$16:$B$22),MATCH(Radiators!D364,RadCompList!$C$15:$I$15)),IF(B364="Cast Rad/Conv",INDEX(RadCompList!$C$28:$D$28,MATCH(C364,RadCompList!$B$28),MATCH(Radiators!D364,RadCompList!$C$27:$D$27)),IF(B364="Copper Cabinet",(INDEX(RadCompList!$E$39:$J$78,MATCH(Radiators!D364,RadCompList!$D$39:$D$78,0),MATCH(C364,RadCompList!$E$38:$J$38,0))),0))))*E364,0)*$A$2</f>
        <v>0</v>
      </c>
      <c r="I364" s="34">
        <f t="shared" si="21"/>
        <v>0</v>
      </c>
      <c r="J364" s="35">
        <f>IFERROR(VLOOKUP(G364,VentList!$A$1:$D$198,2,FALSE),0)</f>
        <v>0</v>
      </c>
      <c r="K364" s="26">
        <f>IFERROR(VLOOKUP(B364,RadCompList!$P$3:$Q$6,2,FALSE)*H364,0)</f>
        <v>0</v>
      </c>
      <c r="L364" s="26" t="str">
        <f t="shared" si="24"/>
        <v>3/4</v>
      </c>
      <c r="M364" s="37">
        <f>Main!$G$8-0.0001306*N364^2 * F364*(1+3.6/VLOOKUP(L364,Calculations!$B$4:$F$15,2,FALSE))/(3600*Main!$C$7*VLOOKUP(L364,Calculations!$B$4:$F$15,2,FALSE)^5)</f>
        <v>0.14820436411902377</v>
      </c>
      <c r="N364" s="37">
        <f t="shared" si="22"/>
        <v>0</v>
      </c>
      <c r="O364" s="37">
        <f>IF(H364&lt;32,SteamProperties!$F$24*Radiators!F364,IF(H364&lt;56,SteamProperties!$F$25*Radiators!F364,SteamProperties!$F$26*Radiators!F364))</f>
        <v>0</v>
      </c>
      <c r="P364" s="37">
        <f>IF(H364&lt;32,Calculations!$F$5*Radiators!F364,IF(H364&lt;56,Calculations!$F$6*Radiators!F364,Calculations!$F$7*Radiators!F364))</f>
        <v>0</v>
      </c>
      <c r="Q364" s="37">
        <f t="shared" si="23"/>
        <v>0</v>
      </c>
    </row>
    <row r="365" spans="2:17">
      <c r="B365" s="33"/>
      <c r="C365" s="34"/>
      <c r="D365" s="34"/>
      <c r="E365" s="34"/>
      <c r="F365" s="34"/>
      <c r="G365" s="34"/>
      <c r="H365" s="34">
        <f>IFERROR(IF(B365="Column",INDEX(RadCompList!$C$4:$G$13,MATCH(C365,RadCompList!$B$4:$B$13),MATCH(Radiators!D365,RadCompList!$C$3:$G$3)),IF(B365="Tube",INDEX(RadCompList!$C$16:$I$22,MATCH(C365,RadCompList!$B$16:$B$22),MATCH(Radiators!D365,RadCompList!$C$15:$I$15)),IF(B365="Cast Rad/Conv",INDEX(RadCompList!$C$28:$D$28,MATCH(C365,RadCompList!$B$28),MATCH(Radiators!D365,RadCompList!$C$27:$D$27)),IF(B365="Copper Cabinet",(INDEX(RadCompList!$E$39:$J$78,MATCH(Radiators!D365,RadCompList!$D$39:$D$78,0),MATCH(C365,RadCompList!$E$38:$J$38,0))),0))))*E365,0)*$A$2</f>
        <v>0</v>
      </c>
      <c r="I365" s="34">
        <f t="shared" si="21"/>
        <v>0</v>
      </c>
      <c r="J365" s="35">
        <f>IFERROR(VLOOKUP(G365,VentList!$A$1:$D$198,2,FALSE),0)</f>
        <v>0</v>
      </c>
      <c r="K365" s="26">
        <f>IFERROR(VLOOKUP(B365,RadCompList!$P$3:$Q$6,2,FALSE)*H365,0)</f>
        <v>0</v>
      </c>
      <c r="L365" s="26" t="str">
        <f t="shared" si="24"/>
        <v>3/4</v>
      </c>
      <c r="M365" s="37">
        <f>Main!$G$8-0.0001306*N365^2 * F365*(1+3.6/VLOOKUP(L365,Calculations!$B$4:$F$15,2,FALSE))/(3600*Main!$C$7*VLOOKUP(L365,Calculations!$B$4:$F$15,2,FALSE)^5)</f>
        <v>0.14820436411902377</v>
      </c>
      <c r="N365" s="37">
        <f t="shared" si="22"/>
        <v>0</v>
      </c>
      <c r="O365" s="37">
        <f>IF(H365&lt;32,SteamProperties!$F$24*Radiators!F365,IF(H365&lt;56,SteamProperties!$F$25*Radiators!F365,SteamProperties!$F$26*Radiators!F365))</f>
        <v>0</v>
      </c>
      <c r="P365" s="37">
        <f>IF(H365&lt;32,Calculations!$F$5*Radiators!F365,IF(H365&lt;56,Calculations!$F$6*Radiators!F365,Calculations!$F$7*Radiators!F365))</f>
        <v>0</v>
      </c>
      <c r="Q365" s="37">
        <f t="shared" si="23"/>
        <v>0</v>
      </c>
    </row>
    <row r="366" spans="2:17">
      <c r="B366" s="33"/>
      <c r="C366" s="34"/>
      <c r="D366" s="34"/>
      <c r="E366" s="34"/>
      <c r="F366" s="34"/>
      <c r="G366" s="34"/>
      <c r="H366" s="34">
        <f>IFERROR(IF(B366="Column",INDEX(RadCompList!$C$4:$G$13,MATCH(C366,RadCompList!$B$4:$B$13),MATCH(Radiators!D366,RadCompList!$C$3:$G$3)),IF(B366="Tube",INDEX(RadCompList!$C$16:$I$22,MATCH(C366,RadCompList!$B$16:$B$22),MATCH(Radiators!D366,RadCompList!$C$15:$I$15)),IF(B366="Cast Rad/Conv",INDEX(RadCompList!$C$28:$D$28,MATCH(C366,RadCompList!$B$28),MATCH(Radiators!D366,RadCompList!$C$27:$D$27)),IF(B366="Copper Cabinet",(INDEX(RadCompList!$E$39:$J$78,MATCH(Radiators!D366,RadCompList!$D$39:$D$78,0),MATCH(C366,RadCompList!$E$38:$J$38,0))),0))))*E366,0)*$A$2</f>
        <v>0</v>
      </c>
      <c r="I366" s="34">
        <f t="shared" si="21"/>
        <v>0</v>
      </c>
      <c r="J366" s="35">
        <f>IFERROR(VLOOKUP(G366,VentList!$A$1:$D$198,2,FALSE),0)</f>
        <v>0</v>
      </c>
      <c r="K366" s="26">
        <f>IFERROR(VLOOKUP(B366,RadCompList!$P$3:$Q$6,2,FALSE)*H366,0)</f>
        <v>0</v>
      </c>
      <c r="L366" s="26" t="str">
        <f t="shared" si="24"/>
        <v>3/4</v>
      </c>
      <c r="M366" s="37">
        <f>Main!$G$8-0.0001306*N366^2 * F366*(1+3.6/VLOOKUP(L366,Calculations!$B$4:$F$15,2,FALSE))/(3600*Main!$C$7*VLOOKUP(L366,Calculations!$B$4:$F$15,2,FALSE)^5)</f>
        <v>0.14820436411902377</v>
      </c>
      <c r="N366" s="37">
        <f t="shared" si="22"/>
        <v>0</v>
      </c>
      <c r="O366" s="37">
        <f>IF(H366&lt;32,SteamProperties!$F$24*Radiators!F366,IF(H366&lt;56,SteamProperties!$F$25*Radiators!F366,SteamProperties!$F$26*Radiators!F366))</f>
        <v>0</v>
      </c>
      <c r="P366" s="37">
        <f>IF(H366&lt;32,Calculations!$F$5*Radiators!F366,IF(H366&lt;56,Calculations!$F$6*Radiators!F366,Calculations!$F$7*Radiators!F366))</f>
        <v>0</v>
      </c>
      <c r="Q366" s="37">
        <f t="shared" si="23"/>
        <v>0</v>
      </c>
    </row>
    <row r="367" spans="2:17">
      <c r="B367" s="33"/>
      <c r="C367" s="34"/>
      <c r="D367" s="34"/>
      <c r="E367" s="34"/>
      <c r="F367" s="34"/>
      <c r="G367" s="34"/>
      <c r="H367" s="34">
        <f>IFERROR(IF(B367="Column",INDEX(RadCompList!$C$4:$G$13,MATCH(C367,RadCompList!$B$4:$B$13),MATCH(Radiators!D367,RadCompList!$C$3:$G$3)),IF(B367="Tube",INDEX(RadCompList!$C$16:$I$22,MATCH(C367,RadCompList!$B$16:$B$22),MATCH(Radiators!D367,RadCompList!$C$15:$I$15)),IF(B367="Cast Rad/Conv",INDEX(RadCompList!$C$28:$D$28,MATCH(C367,RadCompList!$B$28),MATCH(Radiators!D367,RadCompList!$C$27:$D$27)),IF(B367="Copper Cabinet",(INDEX(RadCompList!$E$39:$J$78,MATCH(Radiators!D367,RadCompList!$D$39:$D$78,0),MATCH(C367,RadCompList!$E$38:$J$38,0))),0))))*E367,0)*$A$2</f>
        <v>0</v>
      </c>
      <c r="I367" s="34">
        <f t="shared" si="21"/>
        <v>0</v>
      </c>
      <c r="J367" s="35">
        <f>IFERROR(VLOOKUP(G367,VentList!$A$1:$D$198,2,FALSE),0)</f>
        <v>0</v>
      </c>
      <c r="K367" s="26">
        <f>IFERROR(VLOOKUP(B367,RadCompList!$P$3:$Q$6,2,FALSE)*H367,0)</f>
        <v>0</v>
      </c>
      <c r="L367" s="26" t="str">
        <f t="shared" si="24"/>
        <v>3/4</v>
      </c>
      <c r="M367" s="37">
        <f>Main!$G$8-0.0001306*N367^2 * F367*(1+3.6/VLOOKUP(L367,Calculations!$B$4:$F$15,2,FALSE))/(3600*Main!$C$7*VLOOKUP(L367,Calculations!$B$4:$F$15,2,FALSE)^5)</f>
        <v>0.14820436411902377</v>
      </c>
      <c r="N367" s="37">
        <f t="shared" si="22"/>
        <v>0</v>
      </c>
      <c r="O367" s="37">
        <f>IF(H367&lt;32,SteamProperties!$F$24*Radiators!F367,IF(H367&lt;56,SteamProperties!$F$25*Radiators!F367,SteamProperties!$F$26*Radiators!F367))</f>
        <v>0</v>
      </c>
      <c r="P367" s="37">
        <f>IF(H367&lt;32,Calculations!$F$5*Radiators!F367,IF(H367&lt;56,Calculations!$F$6*Radiators!F367,Calculations!$F$7*Radiators!F367))</f>
        <v>0</v>
      </c>
      <c r="Q367" s="37">
        <f t="shared" si="23"/>
        <v>0</v>
      </c>
    </row>
    <row r="368" spans="2:17">
      <c r="B368" s="33"/>
      <c r="C368" s="34"/>
      <c r="D368" s="34"/>
      <c r="E368" s="34"/>
      <c r="F368" s="34"/>
      <c r="G368" s="34"/>
      <c r="H368" s="34">
        <f>IFERROR(IF(B368="Column",INDEX(RadCompList!$C$4:$G$13,MATCH(C368,RadCompList!$B$4:$B$13),MATCH(Radiators!D368,RadCompList!$C$3:$G$3)),IF(B368="Tube",INDEX(RadCompList!$C$16:$I$22,MATCH(C368,RadCompList!$B$16:$B$22),MATCH(Radiators!D368,RadCompList!$C$15:$I$15)),IF(B368="Cast Rad/Conv",INDEX(RadCompList!$C$28:$D$28,MATCH(C368,RadCompList!$B$28),MATCH(Radiators!D368,RadCompList!$C$27:$D$27)),IF(B368="Copper Cabinet",(INDEX(RadCompList!$E$39:$J$78,MATCH(Radiators!D368,RadCompList!$D$39:$D$78,0),MATCH(C368,RadCompList!$E$38:$J$38,0))),0))))*E368,0)*$A$2</f>
        <v>0</v>
      </c>
      <c r="I368" s="34">
        <f t="shared" si="21"/>
        <v>0</v>
      </c>
      <c r="J368" s="35">
        <f>IFERROR(VLOOKUP(G368,VentList!$A$1:$D$198,2,FALSE),0)</f>
        <v>0</v>
      </c>
      <c r="K368" s="26">
        <f>IFERROR(VLOOKUP(B368,RadCompList!$P$3:$Q$6,2,FALSE)*H368,0)</f>
        <v>0</v>
      </c>
      <c r="L368" s="26" t="str">
        <f t="shared" si="24"/>
        <v>3/4</v>
      </c>
      <c r="M368" s="37">
        <f>Main!$G$8-0.0001306*N368^2 * F368*(1+3.6/VLOOKUP(L368,Calculations!$B$4:$F$15,2,FALSE))/(3600*Main!$C$7*VLOOKUP(L368,Calculations!$B$4:$F$15,2,FALSE)^5)</f>
        <v>0.14820436411902377</v>
      </c>
      <c r="N368" s="37">
        <f t="shared" si="22"/>
        <v>0</v>
      </c>
      <c r="O368" s="37">
        <f>IF(H368&lt;32,SteamProperties!$F$24*Radiators!F368,IF(H368&lt;56,SteamProperties!$F$25*Radiators!F368,SteamProperties!$F$26*Radiators!F368))</f>
        <v>0</v>
      </c>
      <c r="P368" s="37">
        <f>IF(H368&lt;32,Calculations!$F$5*Radiators!F368,IF(H368&lt;56,Calculations!$F$6*Radiators!F368,Calculations!$F$7*Radiators!F368))</f>
        <v>0</v>
      </c>
      <c r="Q368" s="37">
        <f t="shared" si="23"/>
        <v>0</v>
      </c>
    </row>
    <row r="369" spans="2:17">
      <c r="B369" s="33"/>
      <c r="C369" s="34"/>
      <c r="D369" s="34"/>
      <c r="E369" s="34"/>
      <c r="F369" s="34"/>
      <c r="G369" s="34"/>
      <c r="H369" s="34">
        <f>IFERROR(IF(B369="Column",INDEX(RadCompList!$C$4:$G$13,MATCH(C369,RadCompList!$B$4:$B$13),MATCH(Radiators!D369,RadCompList!$C$3:$G$3)),IF(B369="Tube",INDEX(RadCompList!$C$16:$I$22,MATCH(C369,RadCompList!$B$16:$B$22),MATCH(Radiators!D369,RadCompList!$C$15:$I$15)),IF(B369="Cast Rad/Conv",INDEX(RadCompList!$C$28:$D$28,MATCH(C369,RadCompList!$B$28),MATCH(Radiators!D369,RadCompList!$C$27:$D$27)),IF(B369="Copper Cabinet",(INDEX(RadCompList!$E$39:$J$78,MATCH(Radiators!D369,RadCompList!$D$39:$D$78,0),MATCH(C369,RadCompList!$E$38:$J$38,0))),0))))*E369,0)*$A$2</f>
        <v>0</v>
      </c>
      <c r="I369" s="34">
        <f t="shared" si="21"/>
        <v>0</v>
      </c>
      <c r="J369" s="35">
        <f>IFERROR(VLOOKUP(G369,VentList!$A$1:$D$198,2,FALSE),0)</f>
        <v>0</v>
      </c>
      <c r="K369" s="26">
        <f>IFERROR(VLOOKUP(B369,RadCompList!$P$3:$Q$6,2,FALSE)*H369,0)</f>
        <v>0</v>
      </c>
      <c r="L369" s="26" t="str">
        <f t="shared" si="24"/>
        <v>3/4</v>
      </c>
      <c r="M369" s="37">
        <f>Main!$G$8-0.0001306*N369^2 * F369*(1+3.6/VLOOKUP(L369,Calculations!$B$4:$F$15,2,FALSE))/(3600*Main!$C$7*VLOOKUP(L369,Calculations!$B$4:$F$15,2,FALSE)^5)</f>
        <v>0.14820436411902377</v>
      </c>
      <c r="N369" s="37">
        <f t="shared" si="22"/>
        <v>0</v>
      </c>
      <c r="O369" s="37">
        <f>IF(H369&lt;32,SteamProperties!$F$24*Radiators!F369,IF(H369&lt;56,SteamProperties!$F$25*Radiators!F369,SteamProperties!$F$26*Radiators!F369))</f>
        <v>0</v>
      </c>
      <c r="P369" s="37">
        <f>IF(H369&lt;32,Calculations!$F$5*Radiators!F369,IF(H369&lt;56,Calculations!$F$6*Radiators!F369,Calculations!$F$7*Radiators!F369))</f>
        <v>0</v>
      </c>
      <c r="Q369" s="37">
        <f t="shared" si="23"/>
        <v>0</v>
      </c>
    </row>
    <row r="370" spans="2:17">
      <c r="B370" s="33"/>
      <c r="C370" s="34"/>
      <c r="D370" s="34"/>
      <c r="E370" s="34"/>
      <c r="F370" s="34"/>
      <c r="G370" s="34"/>
      <c r="H370" s="34">
        <f>IFERROR(IF(B370="Column",INDEX(RadCompList!$C$4:$G$13,MATCH(C370,RadCompList!$B$4:$B$13),MATCH(Radiators!D370,RadCompList!$C$3:$G$3)),IF(B370="Tube",INDEX(RadCompList!$C$16:$I$22,MATCH(C370,RadCompList!$B$16:$B$22),MATCH(Radiators!D370,RadCompList!$C$15:$I$15)),IF(B370="Cast Rad/Conv",INDEX(RadCompList!$C$28:$D$28,MATCH(C370,RadCompList!$B$28),MATCH(Radiators!D370,RadCompList!$C$27:$D$27)),IF(B370="Copper Cabinet",(INDEX(RadCompList!$E$39:$J$78,MATCH(Radiators!D370,RadCompList!$D$39:$D$78,0),MATCH(C370,RadCompList!$E$38:$J$38,0))),0))))*E370,0)*$A$2</f>
        <v>0</v>
      </c>
      <c r="I370" s="34">
        <f t="shared" si="21"/>
        <v>0</v>
      </c>
      <c r="J370" s="35">
        <f>IFERROR(VLOOKUP(G370,VentList!$A$1:$D$198,2,FALSE),0)</f>
        <v>0</v>
      </c>
      <c r="K370" s="26">
        <f>IFERROR(VLOOKUP(B370,RadCompList!$P$3:$Q$6,2,FALSE)*H370,0)</f>
        <v>0</v>
      </c>
      <c r="L370" s="26" t="str">
        <f t="shared" si="24"/>
        <v>3/4</v>
      </c>
      <c r="M370" s="37">
        <f>Main!$G$8-0.0001306*N370^2 * F370*(1+3.6/VLOOKUP(L370,Calculations!$B$4:$F$15,2,FALSE))/(3600*Main!$C$7*VLOOKUP(L370,Calculations!$B$4:$F$15,2,FALSE)^5)</f>
        <v>0.14820436411902377</v>
      </c>
      <c r="N370" s="37">
        <f t="shared" si="22"/>
        <v>0</v>
      </c>
      <c r="O370" s="37">
        <f>IF(H370&lt;32,SteamProperties!$F$24*Radiators!F370,IF(H370&lt;56,SteamProperties!$F$25*Radiators!F370,SteamProperties!$F$26*Radiators!F370))</f>
        <v>0</v>
      </c>
      <c r="P370" s="37">
        <f>IF(H370&lt;32,Calculations!$F$5*Radiators!F370,IF(H370&lt;56,Calculations!$F$6*Radiators!F370,Calculations!$F$7*Radiators!F370))</f>
        <v>0</v>
      </c>
      <c r="Q370" s="37">
        <f t="shared" si="23"/>
        <v>0</v>
      </c>
    </row>
    <row r="371" spans="2:17">
      <c r="B371" s="33"/>
      <c r="C371" s="34"/>
      <c r="D371" s="34"/>
      <c r="E371" s="34"/>
      <c r="F371" s="34"/>
      <c r="G371" s="34"/>
      <c r="H371" s="34">
        <f>IFERROR(IF(B371="Column",INDEX(RadCompList!$C$4:$G$13,MATCH(C371,RadCompList!$B$4:$B$13),MATCH(Radiators!D371,RadCompList!$C$3:$G$3)),IF(B371="Tube",INDEX(RadCompList!$C$16:$I$22,MATCH(C371,RadCompList!$B$16:$B$22),MATCH(Radiators!D371,RadCompList!$C$15:$I$15)),IF(B371="Cast Rad/Conv",INDEX(RadCompList!$C$28:$D$28,MATCH(C371,RadCompList!$B$28),MATCH(Radiators!D371,RadCompList!$C$27:$D$27)),IF(B371="Copper Cabinet",(INDEX(RadCompList!$E$39:$J$78,MATCH(Radiators!D371,RadCompList!$D$39:$D$78,0),MATCH(C371,RadCompList!$E$38:$J$38,0))),0))))*E371,0)*$A$2</f>
        <v>0</v>
      </c>
      <c r="I371" s="34">
        <f t="shared" si="21"/>
        <v>0</v>
      </c>
      <c r="J371" s="35">
        <f>IFERROR(VLOOKUP(G371,VentList!$A$1:$D$198,2,FALSE),0)</f>
        <v>0</v>
      </c>
      <c r="K371" s="26">
        <f>IFERROR(VLOOKUP(B371,RadCompList!$P$3:$Q$6,2,FALSE)*H371,0)</f>
        <v>0</v>
      </c>
      <c r="L371" s="26" t="str">
        <f t="shared" si="24"/>
        <v>3/4</v>
      </c>
      <c r="M371" s="37">
        <f>Main!$G$8-0.0001306*N371^2 * F371*(1+3.6/VLOOKUP(L371,Calculations!$B$4:$F$15,2,FALSE))/(3600*Main!$C$7*VLOOKUP(L371,Calculations!$B$4:$F$15,2,FALSE)^5)</f>
        <v>0.14820436411902377</v>
      </c>
      <c r="N371" s="37">
        <f t="shared" si="22"/>
        <v>0</v>
      </c>
      <c r="O371" s="37">
        <f>IF(H371&lt;32,SteamProperties!$F$24*Radiators!F371,IF(H371&lt;56,SteamProperties!$F$25*Radiators!F371,SteamProperties!$F$26*Radiators!F371))</f>
        <v>0</v>
      </c>
      <c r="P371" s="37">
        <f>IF(H371&lt;32,Calculations!$F$5*Radiators!F371,IF(H371&lt;56,Calculations!$F$6*Radiators!F371,Calculations!$F$7*Radiators!F371))</f>
        <v>0</v>
      </c>
      <c r="Q371" s="37">
        <f t="shared" si="23"/>
        <v>0</v>
      </c>
    </row>
    <row r="372" spans="2:17">
      <c r="B372" s="33"/>
      <c r="C372" s="34"/>
      <c r="D372" s="34"/>
      <c r="E372" s="34"/>
      <c r="F372" s="34"/>
      <c r="G372" s="34"/>
      <c r="H372" s="34">
        <f>IFERROR(IF(B372="Column",INDEX(RadCompList!$C$4:$G$13,MATCH(C372,RadCompList!$B$4:$B$13),MATCH(Radiators!D372,RadCompList!$C$3:$G$3)),IF(B372="Tube",INDEX(RadCompList!$C$16:$I$22,MATCH(C372,RadCompList!$B$16:$B$22),MATCH(Radiators!D372,RadCompList!$C$15:$I$15)),IF(B372="Cast Rad/Conv",INDEX(RadCompList!$C$28:$D$28,MATCH(C372,RadCompList!$B$28),MATCH(Radiators!D372,RadCompList!$C$27:$D$27)),IF(B372="Copper Cabinet",(INDEX(RadCompList!$E$39:$J$78,MATCH(Radiators!D372,RadCompList!$D$39:$D$78,0),MATCH(C372,RadCompList!$E$38:$J$38,0))),0))))*E372,0)*$A$2</f>
        <v>0</v>
      </c>
      <c r="I372" s="34">
        <f t="shared" si="21"/>
        <v>0</v>
      </c>
      <c r="J372" s="35">
        <f>IFERROR(VLOOKUP(G372,VentList!$A$1:$D$198,2,FALSE),0)</f>
        <v>0</v>
      </c>
      <c r="K372" s="26">
        <f>IFERROR(VLOOKUP(B372,RadCompList!$P$3:$Q$6,2,FALSE)*H372,0)</f>
        <v>0</v>
      </c>
      <c r="L372" s="26" t="str">
        <f t="shared" si="24"/>
        <v>3/4</v>
      </c>
      <c r="M372" s="37">
        <f>Main!$G$8-0.0001306*N372^2 * F372*(1+3.6/VLOOKUP(L372,Calculations!$B$4:$F$15,2,FALSE))/(3600*Main!$C$7*VLOOKUP(L372,Calculations!$B$4:$F$15,2,FALSE)^5)</f>
        <v>0.14820436411902377</v>
      </c>
      <c r="N372" s="37">
        <f t="shared" si="22"/>
        <v>0</v>
      </c>
      <c r="O372" s="37">
        <f>IF(H372&lt;32,SteamProperties!$F$24*Radiators!F372,IF(H372&lt;56,SteamProperties!$F$25*Radiators!F372,SteamProperties!$F$26*Radiators!F372))</f>
        <v>0</v>
      </c>
      <c r="P372" s="37">
        <f>IF(H372&lt;32,Calculations!$F$5*Radiators!F372,IF(H372&lt;56,Calculations!$F$6*Radiators!F372,Calculations!$F$7*Radiators!F372))</f>
        <v>0</v>
      </c>
      <c r="Q372" s="37">
        <f t="shared" si="23"/>
        <v>0</v>
      </c>
    </row>
    <row r="373" spans="2:17">
      <c r="B373" s="33"/>
      <c r="C373" s="34"/>
      <c r="D373" s="34"/>
      <c r="E373" s="34"/>
      <c r="F373" s="34"/>
      <c r="G373" s="34"/>
      <c r="H373" s="34">
        <f>IFERROR(IF(B373="Column",INDEX(RadCompList!$C$4:$G$13,MATCH(C373,RadCompList!$B$4:$B$13),MATCH(Radiators!D373,RadCompList!$C$3:$G$3)),IF(B373="Tube",INDEX(RadCompList!$C$16:$I$22,MATCH(C373,RadCompList!$B$16:$B$22),MATCH(Radiators!D373,RadCompList!$C$15:$I$15)),IF(B373="Cast Rad/Conv",INDEX(RadCompList!$C$28:$D$28,MATCH(C373,RadCompList!$B$28),MATCH(Radiators!D373,RadCompList!$C$27:$D$27)),IF(B373="Copper Cabinet",(INDEX(RadCompList!$E$39:$J$78,MATCH(Radiators!D373,RadCompList!$D$39:$D$78,0),MATCH(C373,RadCompList!$E$38:$J$38,0))),0))))*E373,0)*$A$2</f>
        <v>0</v>
      </c>
      <c r="I373" s="34">
        <f t="shared" si="21"/>
        <v>0</v>
      </c>
      <c r="J373" s="35">
        <f>IFERROR(VLOOKUP(G373,VentList!$A$1:$D$198,2,FALSE),0)</f>
        <v>0</v>
      </c>
      <c r="K373" s="26">
        <f>IFERROR(VLOOKUP(B373,RadCompList!$P$3:$Q$6,2,FALSE)*H373,0)</f>
        <v>0</v>
      </c>
      <c r="L373" s="26" t="str">
        <f t="shared" si="24"/>
        <v>3/4</v>
      </c>
      <c r="M373" s="37">
        <f>Main!$G$8-0.0001306*N373^2 * F373*(1+3.6/VLOOKUP(L373,Calculations!$B$4:$F$15,2,FALSE))/(3600*Main!$C$7*VLOOKUP(L373,Calculations!$B$4:$F$15,2,FALSE)^5)</f>
        <v>0.14820436411902377</v>
      </c>
      <c r="N373" s="37">
        <f t="shared" si="22"/>
        <v>0</v>
      </c>
      <c r="O373" s="37">
        <f>IF(H373&lt;32,SteamProperties!$F$24*Radiators!F373,IF(H373&lt;56,SteamProperties!$F$25*Radiators!F373,SteamProperties!$F$26*Radiators!F373))</f>
        <v>0</v>
      </c>
      <c r="P373" s="37">
        <f>IF(H373&lt;32,Calculations!$F$5*Radiators!F373,IF(H373&lt;56,Calculations!$F$6*Radiators!F373,Calculations!$F$7*Radiators!F373))</f>
        <v>0</v>
      </c>
      <c r="Q373" s="37">
        <f t="shared" si="23"/>
        <v>0</v>
      </c>
    </row>
    <row r="374" spans="2:17">
      <c r="B374" s="33"/>
      <c r="C374" s="34"/>
      <c r="D374" s="34"/>
      <c r="E374" s="34"/>
      <c r="F374" s="34"/>
      <c r="G374" s="34"/>
      <c r="H374" s="34">
        <f>IFERROR(IF(B374="Column",INDEX(RadCompList!$C$4:$G$13,MATCH(C374,RadCompList!$B$4:$B$13),MATCH(Radiators!D374,RadCompList!$C$3:$G$3)),IF(B374="Tube",INDEX(RadCompList!$C$16:$I$22,MATCH(C374,RadCompList!$B$16:$B$22),MATCH(Radiators!D374,RadCompList!$C$15:$I$15)),IF(B374="Cast Rad/Conv",INDEX(RadCompList!$C$28:$D$28,MATCH(C374,RadCompList!$B$28),MATCH(Radiators!D374,RadCompList!$C$27:$D$27)),IF(B374="Copper Cabinet",(INDEX(RadCompList!$E$39:$J$78,MATCH(Radiators!D374,RadCompList!$D$39:$D$78,0),MATCH(C374,RadCompList!$E$38:$J$38,0))),0))))*E374,0)*$A$2</f>
        <v>0</v>
      </c>
      <c r="I374" s="34">
        <f t="shared" si="21"/>
        <v>0</v>
      </c>
      <c r="J374" s="35">
        <f>IFERROR(VLOOKUP(G374,VentList!$A$1:$D$198,2,FALSE),0)</f>
        <v>0</v>
      </c>
      <c r="K374" s="26">
        <f>IFERROR(VLOOKUP(B374,RadCompList!$P$3:$Q$6,2,FALSE)*H374,0)</f>
        <v>0</v>
      </c>
      <c r="L374" s="26" t="str">
        <f t="shared" si="24"/>
        <v>3/4</v>
      </c>
      <c r="M374" s="37">
        <f>Main!$G$8-0.0001306*N374^2 * F374*(1+3.6/VLOOKUP(L374,Calculations!$B$4:$F$15,2,FALSE))/(3600*Main!$C$7*VLOOKUP(L374,Calculations!$B$4:$F$15,2,FALSE)^5)</f>
        <v>0.14820436411902377</v>
      </c>
      <c r="N374" s="37">
        <f t="shared" si="22"/>
        <v>0</v>
      </c>
      <c r="O374" s="37">
        <f>IF(H374&lt;32,SteamProperties!$F$24*Radiators!F374,IF(H374&lt;56,SteamProperties!$F$25*Radiators!F374,SteamProperties!$F$26*Radiators!F374))</f>
        <v>0</v>
      </c>
      <c r="P374" s="37">
        <f>IF(H374&lt;32,Calculations!$F$5*Radiators!F374,IF(H374&lt;56,Calculations!$F$6*Radiators!F374,Calculations!$F$7*Radiators!F374))</f>
        <v>0</v>
      </c>
      <c r="Q374" s="37">
        <f t="shared" si="23"/>
        <v>0</v>
      </c>
    </row>
    <row r="375" spans="2:17">
      <c r="B375" s="33"/>
      <c r="C375" s="34"/>
      <c r="D375" s="34"/>
      <c r="E375" s="34"/>
      <c r="F375" s="34"/>
      <c r="G375" s="34"/>
      <c r="H375" s="34">
        <f>IFERROR(IF(B375="Column",INDEX(RadCompList!$C$4:$G$13,MATCH(C375,RadCompList!$B$4:$B$13),MATCH(Radiators!D375,RadCompList!$C$3:$G$3)),IF(B375="Tube",INDEX(RadCompList!$C$16:$I$22,MATCH(C375,RadCompList!$B$16:$B$22),MATCH(Radiators!D375,RadCompList!$C$15:$I$15)),IF(B375="Cast Rad/Conv",INDEX(RadCompList!$C$28:$D$28,MATCH(C375,RadCompList!$B$28),MATCH(Radiators!D375,RadCompList!$C$27:$D$27)),IF(B375="Copper Cabinet",(INDEX(RadCompList!$E$39:$J$78,MATCH(Radiators!D375,RadCompList!$D$39:$D$78,0),MATCH(C375,RadCompList!$E$38:$J$38,0))),0))))*E375,0)*$A$2</f>
        <v>0</v>
      </c>
      <c r="I375" s="34">
        <f t="shared" si="21"/>
        <v>0</v>
      </c>
      <c r="J375" s="35">
        <f>IFERROR(VLOOKUP(G375,VentList!$A$1:$D$198,2,FALSE),0)</f>
        <v>0</v>
      </c>
      <c r="K375" s="26">
        <f>IFERROR(VLOOKUP(B375,RadCompList!$P$3:$Q$6,2,FALSE)*H375,0)</f>
        <v>0</v>
      </c>
      <c r="L375" s="26" t="str">
        <f t="shared" si="24"/>
        <v>3/4</v>
      </c>
      <c r="M375" s="37">
        <f>Main!$G$8-0.0001306*N375^2 * F375*(1+3.6/VLOOKUP(L375,Calculations!$B$4:$F$15,2,FALSE))/(3600*Main!$C$7*VLOOKUP(L375,Calculations!$B$4:$F$15,2,FALSE)^5)</f>
        <v>0.14820436411902377</v>
      </c>
      <c r="N375" s="37">
        <f t="shared" si="22"/>
        <v>0</v>
      </c>
      <c r="O375" s="37">
        <f>IF(H375&lt;32,SteamProperties!$F$24*Radiators!F375,IF(H375&lt;56,SteamProperties!$F$25*Radiators!F375,SteamProperties!$F$26*Radiators!F375))</f>
        <v>0</v>
      </c>
      <c r="P375" s="37">
        <f>IF(H375&lt;32,Calculations!$F$5*Radiators!F375,IF(H375&lt;56,Calculations!$F$6*Radiators!F375,Calculations!$F$7*Radiators!F375))</f>
        <v>0</v>
      </c>
      <c r="Q375" s="37">
        <f t="shared" si="23"/>
        <v>0</v>
      </c>
    </row>
    <row r="376" spans="2:17">
      <c r="B376" s="33"/>
      <c r="C376" s="34"/>
      <c r="D376" s="34"/>
      <c r="E376" s="34"/>
      <c r="F376" s="34"/>
      <c r="G376" s="34"/>
      <c r="H376" s="34">
        <f>IFERROR(IF(B376="Column",INDEX(RadCompList!$C$4:$G$13,MATCH(C376,RadCompList!$B$4:$B$13),MATCH(Radiators!D376,RadCompList!$C$3:$G$3)),IF(B376="Tube",INDEX(RadCompList!$C$16:$I$22,MATCH(C376,RadCompList!$B$16:$B$22),MATCH(Radiators!D376,RadCompList!$C$15:$I$15)),IF(B376="Cast Rad/Conv",INDEX(RadCompList!$C$28:$D$28,MATCH(C376,RadCompList!$B$28),MATCH(Radiators!D376,RadCompList!$C$27:$D$27)),IF(B376="Copper Cabinet",(INDEX(RadCompList!$E$39:$J$78,MATCH(Radiators!D376,RadCompList!$D$39:$D$78,0),MATCH(C376,RadCompList!$E$38:$J$38,0))),0))))*E376,0)*$A$2</f>
        <v>0</v>
      </c>
      <c r="I376" s="34">
        <f t="shared" si="21"/>
        <v>0</v>
      </c>
      <c r="J376" s="35">
        <f>IFERROR(VLOOKUP(G376,VentList!$A$1:$D$198,2,FALSE),0)</f>
        <v>0</v>
      </c>
      <c r="K376" s="26">
        <f>IFERROR(VLOOKUP(B376,RadCompList!$P$3:$Q$6,2,FALSE)*H376,0)</f>
        <v>0</v>
      </c>
      <c r="L376" s="26" t="str">
        <f t="shared" si="24"/>
        <v>3/4</v>
      </c>
      <c r="M376" s="37">
        <f>Main!$G$8-0.0001306*N376^2 * F376*(1+3.6/VLOOKUP(L376,Calculations!$B$4:$F$15,2,FALSE))/(3600*Main!$C$7*VLOOKUP(L376,Calculations!$B$4:$F$15,2,FALSE)^5)</f>
        <v>0.14820436411902377</v>
      </c>
      <c r="N376" s="37">
        <f t="shared" si="22"/>
        <v>0</v>
      </c>
      <c r="O376" s="37">
        <f>IF(H376&lt;32,SteamProperties!$F$24*Radiators!F376,IF(H376&lt;56,SteamProperties!$F$25*Radiators!F376,SteamProperties!$F$26*Radiators!F376))</f>
        <v>0</v>
      </c>
      <c r="P376" s="37">
        <f>IF(H376&lt;32,Calculations!$F$5*Radiators!F376,IF(H376&lt;56,Calculations!$F$6*Radiators!F376,Calculations!$F$7*Radiators!F376))</f>
        <v>0</v>
      </c>
      <c r="Q376" s="37">
        <f t="shared" si="23"/>
        <v>0</v>
      </c>
    </row>
    <row r="377" spans="2:17">
      <c r="B377" s="33"/>
      <c r="C377" s="34"/>
      <c r="D377" s="34"/>
      <c r="E377" s="34"/>
      <c r="F377" s="34"/>
      <c r="G377" s="34"/>
      <c r="H377" s="34">
        <f>IFERROR(IF(B377="Column",INDEX(RadCompList!$C$4:$G$13,MATCH(C377,RadCompList!$B$4:$B$13),MATCH(Radiators!D377,RadCompList!$C$3:$G$3)),IF(B377="Tube",INDEX(RadCompList!$C$16:$I$22,MATCH(C377,RadCompList!$B$16:$B$22),MATCH(Radiators!D377,RadCompList!$C$15:$I$15)),IF(B377="Cast Rad/Conv",INDEX(RadCompList!$C$28:$D$28,MATCH(C377,RadCompList!$B$28),MATCH(Radiators!D377,RadCompList!$C$27:$D$27)),IF(B377="Copper Cabinet",(INDEX(RadCompList!$E$39:$J$78,MATCH(Radiators!D377,RadCompList!$D$39:$D$78,0),MATCH(C377,RadCompList!$E$38:$J$38,0))),0))))*E377,0)*$A$2</f>
        <v>0</v>
      </c>
      <c r="I377" s="34">
        <f t="shared" si="21"/>
        <v>0</v>
      </c>
      <c r="J377" s="35">
        <f>IFERROR(VLOOKUP(G377,VentList!$A$1:$D$198,2,FALSE),0)</f>
        <v>0</v>
      </c>
      <c r="K377" s="26">
        <f>IFERROR(VLOOKUP(B377,RadCompList!$P$3:$Q$6,2,FALSE)*H377,0)</f>
        <v>0</v>
      </c>
      <c r="L377" s="26" t="str">
        <f t="shared" si="24"/>
        <v>3/4</v>
      </c>
      <c r="M377" s="37">
        <f>Main!$G$8-0.0001306*N377^2 * F377*(1+3.6/VLOOKUP(L377,Calculations!$B$4:$F$15,2,FALSE))/(3600*Main!$C$7*VLOOKUP(L377,Calculations!$B$4:$F$15,2,FALSE)^5)</f>
        <v>0.14820436411902377</v>
      </c>
      <c r="N377" s="37">
        <f t="shared" si="22"/>
        <v>0</v>
      </c>
      <c r="O377" s="37">
        <f>IF(H377&lt;32,SteamProperties!$F$24*Radiators!F377,IF(H377&lt;56,SteamProperties!$F$25*Radiators!F377,SteamProperties!$F$26*Radiators!F377))</f>
        <v>0</v>
      </c>
      <c r="P377" s="37">
        <f>IF(H377&lt;32,Calculations!$F$5*Radiators!F377,IF(H377&lt;56,Calculations!$F$6*Radiators!F377,Calculations!$F$7*Radiators!F377))</f>
        <v>0</v>
      </c>
      <c r="Q377" s="37">
        <f t="shared" si="23"/>
        <v>0</v>
      </c>
    </row>
    <row r="378" spans="2:17">
      <c r="B378" s="33"/>
      <c r="C378" s="34"/>
      <c r="D378" s="34"/>
      <c r="E378" s="34"/>
      <c r="F378" s="34"/>
      <c r="G378" s="34"/>
      <c r="H378" s="34">
        <f>IFERROR(IF(B378="Column",INDEX(RadCompList!$C$4:$G$13,MATCH(C378,RadCompList!$B$4:$B$13),MATCH(Radiators!D378,RadCompList!$C$3:$G$3)),IF(B378="Tube",INDEX(RadCompList!$C$16:$I$22,MATCH(C378,RadCompList!$B$16:$B$22),MATCH(Radiators!D378,RadCompList!$C$15:$I$15)),IF(B378="Cast Rad/Conv",INDEX(RadCompList!$C$28:$D$28,MATCH(C378,RadCompList!$B$28),MATCH(Radiators!D378,RadCompList!$C$27:$D$27)),IF(B378="Copper Cabinet",(INDEX(RadCompList!$E$39:$J$78,MATCH(Radiators!D378,RadCompList!$D$39:$D$78,0),MATCH(C378,RadCompList!$E$38:$J$38,0))),0))))*E378,0)*$A$2</f>
        <v>0</v>
      </c>
      <c r="I378" s="34">
        <f t="shared" si="21"/>
        <v>0</v>
      </c>
      <c r="J378" s="35">
        <f>IFERROR(VLOOKUP(G378,VentList!$A$1:$D$198,2,FALSE),0)</f>
        <v>0</v>
      </c>
      <c r="K378" s="26">
        <f>IFERROR(VLOOKUP(B378,RadCompList!$P$3:$Q$6,2,FALSE)*H378,0)</f>
        <v>0</v>
      </c>
      <c r="L378" s="26" t="str">
        <f t="shared" si="24"/>
        <v>3/4</v>
      </c>
      <c r="M378" s="37">
        <f>Main!$G$8-0.0001306*N378^2 * F378*(1+3.6/VLOOKUP(L378,Calculations!$B$4:$F$15,2,FALSE))/(3600*Main!$C$7*VLOOKUP(L378,Calculations!$B$4:$F$15,2,FALSE)^5)</f>
        <v>0.14820436411902377</v>
      </c>
      <c r="N378" s="37">
        <f t="shared" si="22"/>
        <v>0</v>
      </c>
      <c r="O378" s="37">
        <f>IF(H378&lt;32,SteamProperties!$F$24*Radiators!F378,IF(H378&lt;56,SteamProperties!$F$25*Radiators!F378,SteamProperties!$F$26*Radiators!F378))</f>
        <v>0</v>
      </c>
      <c r="P378" s="37">
        <f>IF(H378&lt;32,Calculations!$F$5*Radiators!F378,IF(H378&lt;56,Calculations!$F$6*Radiators!F378,Calculations!$F$7*Radiators!F378))</f>
        <v>0</v>
      </c>
      <c r="Q378" s="37">
        <f t="shared" si="23"/>
        <v>0</v>
      </c>
    </row>
    <row r="379" spans="2:17">
      <c r="B379" s="33"/>
      <c r="C379" s="34"/>
      <c r="D379" s="34"/>
      <c r="E379" s="34"/>
      <c r="F379" s="34"/>
      <c r="G379" s="34"/>
      <c r="H379" s="34">
        <f>IFERROR(IF(B379="Column",INDEX(RadCompList!$C$4:$G$13,MATCH(C379,RadCompList!$B$4:$B$13),MATCH(Radiators!D379,RadCompList!$C$3:$G$3)),IF(B379="Tube",INDEX(RadCompList!$C$16:$I$22,MATCH(C379,RadCompList!$B$16:$B$22),MATCH(Radiators!D379,RadCompList!$C$15:$I$15)),IF(B379="Cast Rad/Conv",INDEX(RadCompList!$C$28:$D$28,MATCH(C379,RadCompList!$B$28),MATCH(Radiators!D379,RadCompList!$C$27:$D$27)),IF(B379="Copper Cabinet",(INDEX(RadCompList!$E$39:$J$78,MATCH(Radiators!D379,RadCompList!$D$39:$D$78,0),MATCH(C379,RadCompList!$E$38:$J$38,0))),0))))*E379,0)*$A$2</f>
        <v>0</v>
      </c>
      <c r="I379" s="34">
        <f t="shared" si="21"/>
        <v>0</v>
      </c>
      <c r="J379" s="35">
        <f>IFERROR(VLOOKUP(G379,VentList!$A$1:$D$198,2,FALSE),0)</f>
        <v>0</v>
      </c>
      <c r="K379" s="26">
        <f>IFERROR(VLOOKUP(B379,RadCompList!$P$3:$Q$6,2,FALSE)*H379,0)</f>
        <v>0</v>
      </c>
      <c r="L379" s="26" t="str">
        <f t="shared" si="24"/>
        <v>3/4</v>
      </c>
      <c r="M379" s="37">
        <f>Main!$G$8-0.0001306*N379^2 * F379*(1+3.6/VLOOKUP(L379,Calculations!$B$4:$F$15,2,FALSE))/(3600*Main!$C$7*VLOOKUP(L379,Calculations!$B$4:$F$15,2,FALSE)^5)</f>
        <v>0.14820436411902377</v>
      </c>
      <c r="N379" s="37">
        <f t="shared" si="22"/>
        <v>0</v>
      </c>
      <c r="O379" s="37">
        <f>IF(H379&lt;32,SteamProperties!$F$24*Radiators!F379,IF(H379&lt;56,SteamProperties!$F$25*Radiators!F379,SteamProperties!$F$26*Radiators!F379))</f>
        <v>0</v>
      </c>
      <c r="P379" s="37">
        <f>IF(H379&lt;32,Calculations!$F$5*Radiators!F379,IF(H379&lt;56,Calculations!$F$6*Radiators!F379,Calculations!$F$7*Radiators!F379))</f>
        <v>0</v>
      </c>
      <c r="Q379" s="37">
        <f t="shared" si="23"/>
        <v>0</v>
      </c>
    </row>
    <row r="380" spans="2:17">
      <c r="B380" s="33"/>
      <c r="C380" s="34"/>
      <c r="D380" s="34"/>
      <c r="E380" s="34"/>
      <c r="F380" s="34"/>
      <c r="G380" s="34"/>
      <c r="H380" s="34">
        <f>IFERROR(IF(B380="Column",INDEX(RadCompList!$C$4:$G$13,MATCH(C380,RadCompList!$B$4:$B$13),MATCH(Radiators!D380,RadCompList!$C$3:$G$3)),IF(B380="Tube",INDEX(RadCompList!$C$16:$I$22,MATCH(C380,RadCompList!$B$16:$B$22),MATCH(Radiators!D380,RadCompList!$C$15:$I$15)),IF(B380="Cast Rad/Conv",INDEX(RadCompList!$C$28:$D$28,MATCH(C380,RadCompList!$B$28),MATCH(Radiators!D380,RadCompList!$C$27:$D$27)),IF(B380="Copper Cabinet",(INDEX(RadCompList!$E$39:$J$78,MATCH(Radiators!D380,RadCompList!$D$39:$D$78,0),MATCH(C380,RadCompList!$E$38:$J$38,0))),0))))*E380,0)*$A$2</f>
        <v>0</v>
      </c>
      <c r="I380" s="34">
        <f t="shared" si="21"/>
        <v>0</v>
      </c>
      <c r="J380" s="35">
        <f>IFERROR(VLOOKUP(G380,VentList!$A$1:$D$198,2,FALSE),0)</f>
        <v>0</v>
      </c>
      <c r="K380" s="26">
        <f>IFERROR(VLOOKUP(B380,RadCompList!$P$3:$Q$6,2,FALSE)*H380,0)</f>
        <v>0</v>
      </c>
      <c r="L380" s="26" t="str">
        <f t="shared" si="24"/>
        <v>3/4</v>
      </c>
      <c r="M380" s="37">
        <f>Main!$G$8-0.0001306*N380^2 * F380*(1+3.6/VLOOKUP(L380,Calculations!$B$4:$F$15,2,FALSE))/(3600*Main!$C$7*VLOOKUP(L380,Calculations!$B$4:$F$15,2,FALSE)^5)</f>
        <v>0.14820436411902377</v>
      </c>
      <c r="N380" s="37">
        <f t="shared" si="22"/>
        <v>0</v>
      </c>
      <c r="O380" s="37">
        <f>IF(H380&lt;32,SteamProperties!$F$24*Radiators!F380,IF(H380&lt;56,SteamProperties!$F$25*Radiators!F380,SteamProperties!$F$26*Radiators!F380))</f>
        <v>0</v>
      </c>
      <c r="P380" s="37">
        <f>IF(H380&lt;32,Calculations!$F$5*Radiators!F380,IF(H380&lt;56,Calculations!$F$6*Radiators!F380,Calculations!$F$7*Radiators!F380))</f>
        <v>0</v>
      </c>
      <c r="Q380" s="37">
        <f t="shared" si="23"/>
        <v>0</v>
      </c>
    </row>
    <row r="381" spans="2:17">
      <c r="B381" s="33"/>
      <c r="C381" s="34"/>
      <c r="D381" s="34"/>
      <c r="E381" s="34"/>
      <c r="F381" s="34"/>
      <c r="G381" s="34"/>
      <c r="H381" s="34">
        <f>IFERROR(IF(B381="Column",INDEX(RadCompList!$C$4:$G$13,MATCH(C381,RadCompList!$B$4:$B$13),MATCH(Radiators!D381,RadCompList!$C$3:$G$3)),IF(B381="Tube",INDEX(RadCompList!$C$16:$I$22,MATCH(C381,RadCompList!$B$16:$B$22),MATCH(Radiators!D381,RadCompList!$C$15:$I$15)),IF(B381="Cast Rad/Conv",INDEX(RadCompList!$C$28:$D$28,MATCH(C381,RadCompList!$B$28),MATCH(Radiators!D381,RadCompList!$C$27:$D$27)),IF(B381="Copper Cabinet",(INDEX(RadCompList!$E$39:$J$78,MATCH(Radiators!D381,RadCompList!$D$39:$D$78,0),MATCH(C381,RadCompList!$E$38:$J$38,0))),0))))*E381,0)*$A$2</f>
        <v>0</v>
      </c>
      <c r="I381" s="34">
        <f t="shared" si="21"/>
        <v>0</v>
      </c>
      <c r="J381" s="35">
        <f>IFERROR(VLOOKUP(G381,VentList!$A$1:$D$198,2,FALSE),0)</f>
        <v>0</v>
      </c>
      <c r="K381" s="26">
        <f>IFERROR(VLOOKUP(B381,RadCompList!$P$3:$Q$6,2,FALSE)*H381,0)</f>
        <v>0</v>
      </c>
      <c r="L381" s="26" t="str">
        <f t="shared" si="24"/>
        <v>3/4</v>
      </c>
      <c r="M381" s="37">
        <f>Main!$G$8-0.0001306*N381^2 * F381*(1+3.6/VLOOKUP(L381,Calculations!$B$4:$F$15,2,FALSE))/(3600*Main!$C$7*VLOOKUP(L381,Calculations!$B$4:$F$15,2,FALSE)^5)</f>
        <v>0.14820436411902377</v>
      </c>
      <c r="N381" s="37">
        <f t="shared" si="22"/>
        <v>0</v>
      </c>
      <c r="O381" s="37">
        <f>IF(H381&lt;32,SteamProperties!$F$24*Radiators!F381,IF(H381&lt;56,SteamProperties!$F$25*Radiators!F381,SteamProperties!$F$26*Radiators!F381))</f>
        <v>0</v>
      </c>
      <c r="P381" s="37">
        <f>IF(H381&lt;32,Calculations!$F$5*Radiators!F381,IF(H381&lt;56,Calculations!$F$6*Radiators!F381,Calculations!$F$7*Radiators!F381))</f>
        <v>0</v>
      </c>
      <c r="Q381" s="37">
        <f t="shared" si="23"/>
        <v>0</v>
      </c>
    </row>
    <row r="382" spans="2:17">
      <c r="B382" s="33"/>
      <c r="C382" s="34"/>
      <c r="D382" s="34"/>
      <c r="E382" s="34"/>
      <c r="F382" s="34"/>
      <c r="G382" s="34"/>
      <c r="H382" s="34">
        <f>IFERROR(IF(B382="Column",INDEX(RadCompList!$C$4:$G$13,MATCH(C382,RadCompList!$B$4:$B$13),MATCH(Radiators!D382,RadCompList!$C$3:$G$3)),IF(B382="Tube",INDEX(RadCompList!$C$16:$I$22,MATCH(C382,RadCompList!$B$16:$B$22),MATCH(Radiators!D382,RadCompList!$C$15:$I$15)),IF(B382="Cast Rad/Conv",INDEX(RadCompList!$C$28:$D$28,MATCH(C382,RadCompList!$B$28),MATCH(Radiators!D382,RadCompList!$C$27:$D$27)),IF(B382="Copper Cabinet",(INDEX(RadCompList!$E$39:$J$78,MATCH(Radiators!D382,RadCompList!$D$39:$D$78,0),MATCH(C382,RadCompList!$E$38:$J$38,0))),0))))*E382,0)*$A$2</f>
        <v>0</v>
      </c>
      <c r="I382" s="34">
        <f t="shared" si="21"/>
        <v>0</v>
      </c>
      <c r="J382" s="35">
        <f>IFERROR(VLOOKUP(G382,VentList!$A$1:$D$198,2,FALSE),0)</f>
        <v>0</v>
      </c>
      <c r="K382" s="26">
        <f>IFERROR(VLOOKUP(B382,RadCompList!$P$3:$Q$6,2,FALSE)*H382,0)</f>
        <v>0</v>
      </c>
      <c r="L382" s="26" t="str">
        <f t="shared" si="24"/>
        <v>3/4</v>
      </c>
      <c r="M382" s="37">
        <f>Main!$G$8-0.0001306*N382^2 * F382*(1+3.6/VLOOKUP(L382,Calculations!$B$4:$F$15,2,FALSE))/(3600*Main!$C$7*VLOOKUP(L382,Calculations!$B$4:$F$15,2,FALSE)^5)</f>
        <v>0.14820436411902377</v>
      </c>
      <c r="N382" s="37">
        <f t="shared" si="22"/>
        <v>0</v>
      </c>
      <c r="O382" s="37">
        <f>IF(H382&lt;32,SteamProperties!$F$24*Radiators!F382,IF(H382&lt;56,SteamProperties!$F$25*Radiators!F382,SteamProperties!$F$26*Radiators!F382))</f>
        <v>0</v>
      </c>
      <c r="P382" s="37">
        <f>IF(H382&lt;32,Calculations!$F$5*Radiators!F382,IF(H382&lt;56,Calculations!$F$6*Radiators!F382,Calculations!$F$7*Radiators!F382))</f>
        <v>0</v>
      </c>
      <c r="Q382" s="37">
        <f t="shared" si="23"/>
        <v>0</v>
      </c>
    </row>
    <row r="383" spans="2:17">
      <c r="B383" s="33"/>
      <c r="C383" s="34"/>
      <c r="D383" s="34"/>
      <c r="E383" s="34"/>
      <c r="F383" s="34"/>
      <c r="G383" s="34"/>
      <c r="H383" s="34">
        <f>IFERROR(IF(B383="Column",INDEX(RadCompList!$C$4:$G$13,MATCH(C383,RadCompList!$B$4:$B$13),MATCH(Radiators!D383,RadCompList!$C$3:$G$3)),IF(B383="Tube",INDEX(RadCompList!$C$16:$I$22,MATCH(C383,RadCompList!$B$16:$B$22),MATCH(Radiators!D383,RadCompList!$C$15:$I$15)),IF(B383="Cast Rad/Conv",INDEX(RadCompList!$C$28:$D$28,MATCH(C383,RadCompList!$B$28),MATCH(Radiators!D383,RadCompList!$C$27:$D$27)),IF(B383="Copper Cabinet",(INDEX(RadCompList!$E$39:$J$78,MATCH(Radiators!D383,RadCompList!$D$39:$D$78,0),MATCH(C383,RadCompList!$E$38:$J$38,0))),0))))*E383,0)*$A$2</f>
        <v>0</v>
      </c>
      <c r="I383" s="34">
        <f t="shared" si="21"/>
        <v>0</v>
      </c>
      <c r="J383" s="35">
        <f>IFERROR(VLOOKUP(G383,VentList!$A$1:$D$198,2,FALSE),0)</f>
        <v>0</v>
      </c>
      <c r="K383" s="26">
        <f>IFERROR(VLOOKUP(B383,RadCompList!$P$3:$Q$6,2,FALSE)*H383,0)</f>
        <v>0</v>
      </c>
      <c r="L383" s="26" t="str">
        <f t="shared" si="24"/>
        <v>3/4</v>
      </c>
      <c r="M383" s="37">
        <f>Main!$G$8-0.0001306*N383^2 * F383*(1+3.6/VLOOKUP(L383,Calculations!$B$4:$F$15,2,FALSE))/(3600*Main!$C$7*VLOOKUP(L383,Calculations!$B$4:$F$15,2,FALSE)^5)</f>
        <v>0.14820436411902377</v>
      </c>
      <c r="N383" s="37">
        <f t="shared" si="22"/>
        <v>0</v>
      </c>
      <c r="O383" s="37">
        <f>IF(H383&lt;32,SteamProperties!$F$24*Radiators!F383,IF(H383&lt;56,SteamProperties!$F$25*Radiators!F383,SteamProperties!$F$26*Radiators!F383))</f>
        <v>0</v>
      </c>
      <c r="P383" s="37">
        <f>IF(H383&lt;32,Calculations!$F$5*Radiators!F383,IF(H383&lt;56,Calculations!$F$6*Radiators!F383,Calculations!$F$7*Radiators!F383))</f>
        <v>0</v>
      </c>
      <c r="Q383" s="37">
        <f t="shared" si="23"/>
        <v>0</v>
      </c>
    </row>
    <row r="384" spans="2:17">
      <c r="B384" s="33"/>
      <c r="C384" s="34"/>
      <c r="D384" s="34"/>
      <c r="E384" s="34"/>
      <c r="F384" s="34"/>
      <c r="G384" s="34"/>
      <c r="H384" s="34">
        <f>IFERROR(IF(B384="Column",INDEX(RadCompList!$C$4:$G$13,MATCH(C384,RadCompList!$B$4:$B$13),MATCH(Radiators!D384,RadCompList!$C$3:$G$3)),IF(B384="Tube",INDEX(RadCompList!$C$16:$I$22,MATCH(C384,RadCompList!$B$16:$B$22),MATCH(Radiators!D384,RadCompList!$C$15:$I$15)),IF(B384="Cast Rad/Conv",INDEX(RadCompList!$C$28:$D$28,MATCH(C384,RadCompList!$B$28),MATCH(Radiators!D384,RadCompList!$C$27:$D$27)),IF(B384="Copper Cabinet",(INDEX(RadCompList!$E$39:$J$78,MATCH(Radiators!D384,RadCompList!$D$39:$D$78,0),MATCH(C384,RadCompList!$E$38:$J$38,0))),0))))*E384,0)*$A$2</f>
        <v>0</v>
      </c>
      <c r="I384" s="34">
        <f t="shared" si="21"/>
        <v>0</v>
      </c>
      <c r="J384" s="35">
        <f>IFERROR(VLOOKUP(G384,VentList!$A$1:$D$198,2,FALSE),0)</f>
        <v>0</v>
      </c>
      <c r="K384" s="26">
        <f>IFERROR(VLOOKUP(B384,RadCompList!$P$3:$Q$6,2,FALSE)*H384,0)</f>
        <v>0</v>
      </c>
      <c r="L384" s="26" t="str">
        <f t="shared" si="24"/>
        <v>3/4</v>
      </c>
      <c r="M384" s="37">
        <f>Main!$G$8-0.0001306*N384^2 * F384*(1+3.6/VLOOKUP(L384,Calculations!$B$4:$F$15,2,FALSE))/(3600*Main!$C$7*VLOOKUP(L384,Calculations!$B$4:$F$15,2,FALSE)^5)</f>
        <v>0.14820436411902377</v>
      </c>
      <c r="N384" s="37">
        <f t="shared" si="22"/>
        <v>0</v>
      </c>
      <c r="O384" s="37">
        <f>IF(H384&lt;32,SteamProperties!$F$24*Radiators!F384,IF(H384&lt;56,SteamProperties!$F$25*Radiators!F384,SteamProperties!$F$26*Radiators!F384))</f>
        <v>0</v>
      </c>
      <c r="P384" s="37">
        <f>IF(H384&lt;32,Calculations!$F$5*Radiators!F384,IF(H384&lt;56,Calculations!$F$6*Radiators!F384,Calculations!$F$7*Radiators!F384))</f>
        <v>0</v>
      </c>
      <c r="Q384" s="37">
        <f t="shared" si="23"/>
        <v>0</v>
      </c>
    </row>
    <row r="385" spans="2:17">
      <c r="B385" s="33"/>
      <c r="C385" s="34"/>
      <c r="D385" s="34"/>
      <c r="E385" s="34"/>
      <c r="F385" s="34"/>
      <c r="G385" s="34"/>
      <c r="H385" s="34">
        <f>IFERROR(IF(B385="Column",INDEX(RadCompList!$C$4:$G$13,MATCH(C385,RadCompList!$B$4:$B$13),MATCH(Radiators!D385,RadCompList!$C$3:$G$3)),IF(B385="Tube",INDEX(RadCompList!$C$16:$I$22,MATCH(C385,RadCompList!$B$16:$B$22),MATCH(Radiators!D385,RadCompList!$C$15:$I$15)),IF(B385="Cast Rad/Conv",INDEX(RadCompList!$C$28:$D$28,MATCH(C385,RadCompList!$B$28),MATCH(Radiators!D385,RadCompList!$C$27:$D$27)),IF(B385="Copper Cabinet",(INDEX(RadCompList!$E$39:$J$78,MATCH(Radiators!D385,RadCompList!$D$39:$D$78,0),MATCH(C385,RadCompList!$E$38:$J$38,0))),0))))*E385,0)*$A$2</f>
        <v>0</v>
      </c>
      <c r="I385" s="34">
        <f t="shared" si="21"/>
        <v>0</v>
      </c>
      <c r="J385" s="35">
        <f>IFERROR(VLOOKUP(G385,VentList!$A$1:$D$198,2,FALSE),0)</f>
        <v>0</v>
      </c>
      <c r="K385" s="26">
        <f>IFERROR(VLOOKUP(B385,RadCompList!$P$3:$Q$6,2,FALSE)*H385,0)</f>
        <v>0</v>
      </c>
      <c r="L385" s="26" t="str">
        <f t="shared" si="24"/>
        <v>3/4</v>
      </c>
      <c r="M385" s="37">
        <f>Main!$G$8-0.0001306*N385^2 * F385*(1+3.6/VLOOKUP(L385,Calculations!$B$4:$F$15,2,FALSE))/(3600*Main!$C$7*VLOOKUP(L385,Calculations!$B$4:$F$15,2,FALSE)^5)</f>
        <v>0.14820436411902377</v>
      </c>
      <c r="N385" s="37">
        <f t="shared" si="22"/>
        <v>0</v>
      </c>
      <c r="O385" s="37">
        <f>IF(H385&lt;32,SteamProperties!$F$24*Radiators!F385,IF(H385&lt;56,SteamProperties!$F$25*Radiators!F385,SteamProperties!$F$26*Radiators!F385))</f>
        <v>0</v>
      </c>
      <c r="P385" s="37">
        <f>IF(H385&lt;32,Calculations!$F$5*Radiators!F385,IF(H385&lt;56,Calculations!$F$6*Radiators!F385,Calculations!$F$7*Radiators!F385))</f>
        <v>0</v>
      </c>
      <c r="Q385" s="37">
        <f t="shared" si="23"/>
        <v>0</v>
      </c>
    </row>
    <row r="386" spans="2:17">
      <c r="B386" s="33"/>
      <c r="C386" s="34"/>
      <c r="D386" s="34"/>
      <c r="E386" s="34"/>
      <c r="F386" s="34"/>
      <c r="G386" s="34"/>
      <c r="H386" s="34">
        <f>IFERROR(IF(B386="Column",INDEX(RadCompList!$C$4:$G$13,MATCH(C386,RadCompList!$B$4:$B$13),MATCH(Radiators!D386,RadCompList!$C$3:$G$3)),IF(B386="Tube",INDEX(RadCompList!$C$16:$I$22,MATCH(C386,RadCompList!$B$16:$B$22),MATCH(Radiators!D386,RadCompList!$C$15:$I$15)),IF(B386="Cast Rad/Conv",INDEX(RadCompList!$C$28:$D$28,MATCH(C386,RadCompList!$B$28),MATCH(Radiators!D386,RadCompList!$C$27:$D$27)),IF(B386="Copper Cabinet",(INDEX(RadCompList!$E$39:$J$78,MATCH(Radiators!D386,RadCompList!$D$39:$D$78,0),MATCH(C386,RadCompList!$E$38:$J$38,0))),0))))*E386,0)*$A$2</f>
        <v>0</v>
      </c>
      <c r="I386" s="34">
        <f t="shared" si="21"/>
        <v>0</v>
      </c>
      <c r="J386" s="35">
        <f>IFERROR(VLOOKUP(G386,VentList!$A$1:$D$198,2,FALSE),0)</f>
        <v>0</v>
      </c>
      <c r="K386" s="26">
        <f>IFERROR(VLOOKUP(B386,RadCompList!$P$3:$Q$6,2,FALSE)*H386,0)</f>
        <v>0</v>
      </c>
      <c r="L386" s="26" t="str">
        <f t="shared" si="24"/>
        <v>3/4</v>
      </c>
      <c r="M386" s="37">
        <f>Main!$G$8-0.0001306*N386^2 * F386*(1+3.6/VLOOKUP(L386,Calculations!$B$4:$F$15,2,FALSE))/(3600*Main!$C$7*VLOOKUP(L386,Calculations!$B$4:$F$15,2,FALSE)^5)</f>
        <v>0.14820436411902377</v>
      </c>
      <c r="N386" s="37">
        <f t="shared" si="22"/>
        <v>0</v>
      </c>
      <c r="O386" s="37">
        <f>IF(H386&lt;32,SteamProperties!$F$24*Radiators!F386,IF(H386&lt;56,SteamProperties!$F$25*Radiators!F386,SteamProperties!$F$26*Radiators!F386))</f>
        <v>0</v>
      </c>
      <c r="P386" s="37">
        <f>IF(H386&lt;32,Calculations!$F$5*Radiators!F386,IF(H386&lt;56,Calculations!$F$6*Radiators!F386,Calculations!$F$7*Radiators!F386))</f>
        <v>0</v>
      </c>
      <c r="Q386" s="37">
        <f t="shared" si="23"/>
        <v>0</v>
      </c>
    </row>
    <row r="387" spans="2:17">
      <c r="B387" s="33"/>
      <c r="C387" s="34"/>
      <c r="D387" s="34"/>
      <c r="E387" s="34"/>
      <c r="F387" s="34"/>
      <c r="G387" s="34"/>
      <c r="H387" s="34">
        <f>IFERROR(IF(B387="Column",INDEX(RadCompList!$C$4:$G$13,MATCH(C387,RadCompList!$B$4:$B$13),MATCH(Radiators!D387,RadCompList!$C$3:$G$3)),IF(B387="Tube",INDEX(RadCompList!$C$16:$I$22,MATCH(C387,RadCompList!$B$16:$B$22),MATCH(Radiators!D387,RadCompList!$C$15:$I$15)),IF(B387="Cast Rad/Conv",INDEX(RadCompList!$C$28:$D$28,MATCH(C387,RadCompList!$B$28),MATCH(Radiators!D387,RadCompList!$C$27:$D$27)),IF(B387="Copper Cabinet",(INDEX(RadCompList!$E$39:$J$78,MATCH(Radiators!D387,RadCompList!$D$39:$D$78,0),MATCH(C387,RadCompList!$E$38:$J$38,0))),0))))*E387,0)*$A$2</f>
        <v>0</v>
      </c>
      <c r="I387" s="34">
        <f t="shared" ref="I387:I400" si="25">IFERROR(240*H387,0)*$A$2</f>
        <v>0</v>
      </c>
      <c r="J387" s="35">
        <f>IFERROR(VLOOKUP(G387,VentList!$A$1:$D$198,2,FALSE),0)</f>
        <v>0</v>
      </c>
      <c r="K387" s="26">
        <f>IFERROR(VLOOKUP(B387,RadCompList!$P$3:$Q$6,2,FALSE)*H387,0)</f>
        <v>0</v>
      </c>
      <c r="L387" s="26" t="str">
        <f t="shared" si="24"/>
        <v>3/4</v>
      </c>
      <c r="M387" s="37">
        <f>Main!$G$8-0.0001306*N387^2 * F387*(1+3.6/VLOOKUP(L387,Calculations!$B$4:$F$15,2,FALSE))/(3600*Main!$C$7*VLOOKUP(L387,Calculations!$B$4:$F$15,2,FALSE)^5)</f>
        <v>0.14820436411902377</v>
      </c>
      <c r="N387" s="37">
        <f t="shared" ref="N387:N400" si="26">I387/(970+27)</f>
        <v>0</v>
      </c>
      <c r="O387" s="37">
        <f>IF(H387&lt;32,SteamProperties!$F$24*Radiators!F387,IF(H387&lt;56,SteamProperties!$F$25*Radiators!F387,SteamProperties!$F$26*Radiators!F387))</f>
        <v>0</v>
      </c>
      <c r="P387" s="37">
        <f>IF(H387&lt;32,Calculations!$F$5*Radiators!F387,IF(H387&lt;56,Calculations!$F$6*Radiators!F387,Calculations!$F$7*Radiators!F387))</f>
        <v>0</v>
      </c>
      <c r="Q387" s="37">
        <f t="shared" ref="Q387:Q400" si="27">I387/(970)</f>
        <v>0</v>
      </c>
    </row>
    <row r="388" spans="2:17">
      <c r="B388" s="33"/>
      <c r="C388" s="34"/>
      <c r="D388" s="34"/>
      <c r="E388" s="34"/>
      <c r="F388" s="34"/>
      <c r="G388" s="34"/>
      <c r="H388" s="34">
        <f>IFERROR(IF(B388="Column",INDEX(RadCompList!$C$4:$G$13,MATCH(C388,RadCompList!$B$4:$B$13),MATCH(Radiators!D388,RadCompList!$C$3:$G$3)),IF(B388="Tube",INDEX(RadCompList!$C$16:$I$22,MATCH(C388,RadCompList!$B$16:$B$22),MATCH(Radiators!D388,RadCompList!$C$15:$I$15)),IF(B388="Cast Rad/Conv",INDEX(RadCompList!$C$28:$D$28,MATCH(C388,RadCompList!$B$28),MATCH(Radiators!D388,RadCompList!$C$27:$D$27)),IF(B388="Copper Cabinet",(INDEX(RadCompList!$E$39:$J$78,MATCH(Radiators!D388,RadCompList!$D$39:$D$78,0),MATCH(C388,RadCompList!$E$38:$J$38,0))),0))))*E388,0)*$A$2</f>
        <v>0</v>
      </c>
      <c r="I388" s="34">
        <f t="shared" si="25"/>
        <v>0</v>
      </c>
      <c r="J388" s="35">
        <f>IFERROR(VLOOKUP(G388,VentList!$A$1:$D$198,2,FALSE),0)</f>
        <v>0</v>
      </c>
      <c r="K388" s="26">
        <f>IFERROR(VLOOKUP(B388,RadCompList!$P$3:$Q$6,2,FALSE)*H388,0)</f>
        <v>0</v>
      </c>
      <c r="L388" s="26" t="str">
        <f t="shared" si="24"/>
        <v>3/4</v>
      </c>
      <c r="M388" s="37">
        <f>Main!$G$8-0.0001306*N388^2 * F388*(1+3.6/VLOOKUP(L388,Calculations!$B$4:$F$15,2,FALSE))/(3600*Main!$C$7*VLOOKUP(L388,Calculations!$B$4:$F$15,2,FALSE)^5)</f>
        <v>0.14820436411902377</v>
      </c>
      <c r="N388" s="37">
        <f t="shared" si="26"/>
        <v>0</v>
      </c>
      <c r="O388" s="37">
        <f>IF(H388&lt;32,SteamProperties!$F$24*Radiators!F388,IF(H388&lt;56,SteamProperties!$F$25*Radiators!F388,SteamProperties!$F$26*Radiators!F388))</f>
        <v>0</v>
      </c>
      <c r="P388" s="37">
        <f>IF(H388&lt;32,Calculations!$F$5*Radiators!F388,IF(H388&lt;56,Calculations!$F$6*Radiators!F388,Calculations!$F$7*Radiators!F388))</f>
        <v>0</v>
      </c>
      <c r="Q388" s="37">
        <f t="shared" si="27"/>
        <v>0</v>
      </c>
    </row>
    <row r="389" spans="2:17">
      <c r="B389" s="33"/>
      <c r="C389" s="34"/>
      <c r="D389" s="34"/>
      <c r="E389" s="34"/>
      <c r="F389" s="34"/>
      <c r="G389" s="34"/>
      <c r="H389" s="34">
        <f>IFERROR(IF(B389="Column",INDEX(RadCompList!$C$4:$G$13,MATCH(C389,RadCompList!$B$4:$B$13),MATCH(Radiators!D389,RadCompList!$C$3:$G$3)),IF(B389="Tube",INDEX(RadCompList!$C$16:$I$22,MATCH(C389,RadCompList!$B$16:$B$22),MATCH(Radiators!D389,RadCompList!$C$15:$I$15)),IF(B389="Cast Rad/Conv",INDEX(RadCompList!$C$28:$D$28,MATCH(C389,RadCompList!$B$28),MATCH(Radiators!D389,RadCompList!$C$27:$D$27)),IF(B389="Copper Cabinet",(INDEX(RadCompList!$E$39:$J$78,MATCH(Radiators!D389,RadCompList!$D$39:$D$78,0),MATCH(C389,RadCompList!$E$38:$J$38,0))),0))))*E389,0)*$A$2</f>
        <v>0</v>
      </c>
      <c r="I389" s="34">
        <f t="shared" si="25"/>
        <v>0</v>
      </c>
      <c r="J389" s="35">
        <f>IFERROR(VLOOKUP(G389,VentList!$A$1:$D$198,2,FALSE),0)</f>
        <v>0</v>
      </c>
      <c r="K389" s="26">
        <f>IFERROR(VLOOKUP(B389,RadCompList!$P$3:$Q$6,2,FALSE)*H389,0)</f>
        <v>0</v>
      </c>
      <c r="L389" s="26" t="str">
        <f t="shared" si="24"/>
        <v>3/4</v>
      </c>
      <c r="M389" s="37">
        <f>Main!$G$8-0.0001306*N389^2 * F389*(1+3.6/VLOOKUP(L389,Calculations!$B$4:$F$15,2,FALSE))/(3600*Main!$C$7*VLOOKUP(L389,Calculations!$B$4:$F$15,2,FALSE)^5)</f>
        <v>0.14820436411902377</v>
      </c>
      <c r="N389" s="37">
        <f t="shared" si="26"/>
        <v>0</v>
      </c>
      <c r="O389" s="37">
        <f>IF(H389&lt;32,SteamProperties!$F$24*Radiators!F389,IF(H389&lt;56,SteamProperties!$F$25*Radiators!F389,SteamProperties!$F$26*Radiators!F389))</f>
        <v>0</v>
      </c>
      <c r="P389" s="37">
        <f>IF(H389&lt;32,Calculations!$F$5*Radiators!F389,IF(H389&lt;56,Calculations!$F$6*Radiators!F389,Calculations!$F$7*Radiators!F389))</f>
        <v>0</v>
      </c>
      <c r="Q389" s="37">
        <f t="shared" si="27"/>
        <v>0</v>
      </c>
    </row>
    <row r="390" spans="2:17">
      <c r="B390" s="33"/>
      <c r="C390" s="34"/>
      <c r="D390" s="34"/>
      <c r="E390" s="34"/>
      <c r="F390" s="34"/>
      <c r="G390" s="34"/>
      <c r="H390" s="34">
        <f>IFERROR(IF(B390="Column",INDEX(RadCompList!$C$4:$G$13,MATCH(C390,RadCompList!$B$4:$B$13),MATCH(Radiators!D390,RadCompList!$C$3:$G$3)),IF(B390="Tube",INDEX(RadCompList!$C$16:$I$22,MATCH(C390,RadCompList!$B$16:$B$22),MATCH(Radiators!D390,RadCompList!$C$15:$I$15)),IF(B390="Cast Rad/Conv",INDEX(RadCompList!$C$28:$D$28,MATCH(C390,RadCompList!$B$28),MATCH(Radiators!D390,RadCompList!$C$27:$D$27)),IF(B390="Copper Cabinet",(INDEX(RadCompList!$E$39:$J$78,MATCH(Radiators!D390,RadCompList!$D$39:$D$78,0),MATCH(C390,RadCompList!$E$38:$J$38,0))),0))))*E390,0)*$A$2</f>
        <v>0</v>
      </c>
      <c r="I390" s="34">
        <f t="shared" si="25"/>
        <v>0</v>
      </c>
      <c r="J390" s="35">
        <f>IFERROR(VLOOKUP(G390,VentList!$A$1:$D$198,2,FALSE),0)</f>
        <v>0</v>
      </c>
      <c r="K390" s="26">
        <f>IFERROR(VLOOKUP(B390,RadCompList!$P$3:$Q$6,2,FALSE)*H390,0)</f>
        <v>0</v>
      </c>
      <c r="L390" s="26" t="str">
        <f t="shared" ref="L390:L400" si="28">IF(H390&lt;32, "3/4",IF(H390&lt;56, "1", IF(H390&lt;124," 1 1/2",IF(H390&gt;124,"2"))))</f>
        <v>3/4</v>
      </c>
      <c r="M390" s="37">
        <f>Main!$G$8-0.0001306*N390^2 * F390*(1+3.6/VLOOKUP(L390,Calculations!$B$4:$F$15,2,FALSE))/(3600*Main!$C$7*VLOOKUP(L390,Calculations!$B$4:$F$15,2,FALSE)^5)</f>
        <v>0.14820436411902377</v>
      </c>
      <c r="N390" s="37">
        <f t="shared" si="26"/>
        <v>0</v>
      </c>
      <c r="O390" s="37">
        <f>IF(H390&lt;32,SteamProperties!$F$24*Radiators!F390,IF(H390&lt;56,SteamProperties!$F$25*Radiators!F390,SteamProperties!$F$26*Radiators!F390))</f>
        <v>0</v>
      </c>
      <c r="P390" s="37">
        <f>IF(H390&lt;32,Calculations!$F$5*Radiators!F390,IF(H390&lt;56,Calculations!$F$6*Radiators!F390,Calculations!$F$7*Radiators!F390))</f>
        <v>0</v>
      </c>
      <c r="Q390" s="37">
        <f t="shared" si="27"/>
        <v>0</v>
      </c>
    </row>
    <row r="391" spans="2:17">
      <c r="B391" s="33"/>
      <c r="C391" s="34"/>
      <c r="D391" s="34"/>
      <c r="E391" s="34"/>
      <c r="F391" s="34"/>
      <c r="G391" s="34"/>
      <c r="H391" s="34">
        <f>IFERROR(IF(B391="Column",INDEX(RadCompList!$C$4:$G$13,MATCH(C391,RadCompList!$B$4:$B$13),MATCH(Radiators!D391,RadCompList!$C$3:$G$3)),IF(B391="Tube",INDEX(RadCompList!$C$16:$I$22,MATCH(C391,RadCompList!$B$16:$B$22),MATCH(Radiators!D391,RadCompList!$C$15:$I$15)),IF(B391="Cast Rad/Conv",INDEX(RadCompList!$C$28:$D$28,MATCH(C391,RadCompList!$B$28),MATCH(Radiators!D391,RadCompList!$C$27:$D$27)),IF(B391="Copper Cabinet",(INDEX(RadCompList!$E$39:$J$78,MATCH(Radiators!D391,RadCompList!$D$39:$D$78,0),MATCH(C391,RadCompList!$E$38:$J$38,0))),0))))*E391,0)*$A$2</f>
        <v>0</v>
      </c>
      <c r="I391" s="34">
        <f t="shared" si="25"/>
        <v>0</v>
      </c>
      <c r="J391" s="35">
        <f>IFERROR(VLOOKUP(G391,VentList!$A$1:$D$198,2,FALSE),0)</f>
        <v>0</v>
      </c>
      <c r="K391" s="26">
        <f>IFERROR(VLOOKUP(B391,RadCompList!$P$3:$Q$6,2,FALSE)*H391,0)</f>
        <v>0</v>
      </c>
      <c r="L391" s="26" t="str">
        <f t="shared" si="28"/>
        <v>3/4</v>
      </c>
      <c r="M391" s="37">
        <f>Main!$G$8-0.0001306*N391^2 * F391*(1+3.6/VLOOKUP(L391,Calculations!$B$4:$F$15,2,FALSE))/(3600*Main!$C$7*VLOOKUP(L391,Calculations!$B$4:$F$15,2,FALSE)^5)</f>
        <v>0.14820436411902377</v>
      </c>
      <c r="N391" s="37">
        <f t="shared" si="26"/>
        <v>0</v>
      </c>
      <c r="O391" s="37">
        <f>IF(H391&lt;32,SteamProperties!$F$24*Radiators!F391,IF(H391&lt;56,SteamProperties!$F$25*Radiators!F391,SteamProperties!$F$26*Radiators!F391))</f>
        <v>0</v>
      </c>
      <c r="P391" s="37">
        <f>IF(H391&lt;32,Calculations!$F$5*Radiators!F391,IF(H391&lt;56,Calculations!$F$6*Radiators!F391,Calculations!$F$7*Radiators!F391))</f>
        <v>0</v>
      </c>
      <c r="Q391" s="37">
        <f t="shared" si="27"/>
        <v>0</v>
      </c>
    </row>
    <row r="392" spans="2:17">
      <c r="B392" s="33"/>
      <c r="C392" s="34"/>
      <c r="D392" s="34"/>
      <c r="E392" s="34"/>
      <c r="F392" s="34"/>
      <c r="G392" s="34"/>
      <c r="H392" s="34">
        <f>IFERROR(IF(B392="Column",INDEX(RadCompList!$C$4:$G$13,MATCH(C392,RadCompList!$B$4:$B$13),MATCH(Radiators!D392,RadCompList!$C$3:$G$3)),IF(B392="Tube",INDEX(RadCompList!$C$16:$I$22,MATCH(C392,RadCompList!$B$16:$B$22),MATCH(Radiators!D392,RadCompList!$C$15:$I$15)),IF(B392="Cast Rad/Conv",INDEX(RadCompList!$C$28:$D$28,MATCH(C392,RadCompList!$B$28),MATCH(Radiators!D392,RadCompList!$C$27:$D$27)),IF(B392="Copper Cabinet",(INDEX(RadCompList!$E$39:$J$78,MATCH(Radiators!D392,RadCompList!$D$39:$D$78,0),MATCH(C392,RadCompList!$E$38:$J$38,0))),0))))*E392,0)*$A$2</f>
        <v>0</v>
      </c>
      <c r="I392" s="34">
        <f t="shared" si="25"/>
        <v>0</v>
      </c>
      <c r="J392" s="35">
        <f>IFERROR(VLOOKUP(G392,VentList!$A$1:$D$198,2,FALSE),0)</f>
        <v>0</v>
      </c>
      <c r="K392" s="26">
        <f>IFERROR(VLOOKUP(B392,RadCompList!$P$3:$Q$6,2,FALSE)*H392,0)</f>
        <v>0</v>
      </c>
      <c r="L392" s="26" t="str">
        <f t="shared" si="28"/>
        <v>3/4</v>
      </c>
      <c r="M392" s="37">
        <f>Main!$G$8-0.0001306*N392^2 * F392*(1+3.6/VLOOKUP(L392,Calculations!$B$4:$F$15,2,FALSE))/(3600*Main!$C$7*VLOOKUP(L392,Calculations!$B$4:$F$15,2,FALSE)^5)</f>
        <v>0.14820436411902377</v>
      </c>
      <c r="N392" s="37">
        <f t="shared" si="26"/>
        <v>0</v>
      </c>
      <c r="O392" s="37">
        <f>IF(H392&lt;32,SteamProperties!$F$24*Radiators!F392,IF(H392&lt;56,SteamProperties!$F$25*Radiators!F392,SteamProperties!$F$26*Radiators!F392))</f>
        <v>0</v>
      </c>
      <c r="P392" s="37">
        <f>IF(H392&lt;32,Calculations!$F$5*Radiators!F392,IF(H392&lt;56,Calculations!$F$6*Radiators!F392,Calculations!$F$7*Radiators!F392))</f>
        <v>0</v>
      </c>
      <c r="Q392" s="37">
        <f t="shared" si="27"/>
        <v>0</v>
      </c>
    </row>
    <row r="393" spans="2:17">
      <c r="B393" s="33"/>
      <c r="C393" s="34"/>
      <c r="D393" s="34"/>
      <c r="E393" s="34"/>
      <c r="F393" s="34"/>
      <c r="G393" s="34"/>
      <c r="H393" s="34">
        <f>IFERROR(IF(B393="Column",INDEX(RadCompList!$C$4:$G$13,MATCH(C393,RadCompList!$B$4:$B$13),MATCH(Radiators!D393,RadCompList!$C$3:$G$3)),IF(B393="Tube",INDEX(RadCompList!$C$16:$I$22,MATCH(C393,RadCompList!$B$16:$B$22),MATCH(Radiators!D393,RadCompList!$C$15:$I$15)),IF(B393="Cast Rad/Conv",INDEX(RadCompList!$C$28:$D$28,MATCH(C393,RadCompList!$B$28),MATCH(Radiators!D393,RadCompList!$C$27:$D$27)),IF(B393="Copper Cabinet",(INDEX(RadCompList!$E$39:$J$78,MATCH(Radiators!D393,RadCompList!$D$39:$D$78,0),MATCH(C393,RadCompList!$E$38:$J$38,0))),0))))*E393,0)*$A$2</f>
        <v>0</v>
      </c>
      <c r="I393" s="34">
        <f t="shared" si="25"/>
        <v>0</v>
      </c>
      <c r="J393" s="35">
        <f>IFERROR(VLOOKUP(G393,VentList!$A$1:$D$198,2,FALSE),0)</f>
        <v>0</v>
      </c>
      <c r="K393" s="26">
        <f>IFERROR(VLOOKUP(B393,RadCompList!$P$3:$Q$6,2,FALSE)*H393,0)</f>
        <v>0</v>
      </c>
      <c r="L393" s="26" t="str">
        <f t="shared" si="28"/>
        <v>3/4</v>
      </c>
      <c r="M393" s="37">
        <f>Main!$G$8-0.0001306*N393^2 * F393*(1+3.6/VLOOKUP(L393,Calculations!$B$4:$F$15,2,FALSE))/(3600*Main!$C$7*VLOOKUP(L393,Calculations!$B$4:$F$15,2,FALSE)^5)</f>
        <v>0.14820436411902377</v>
      </c>
      <c r="N393" s="37">
        <f t="shared" si="26"/>
        <v>0</v>
      </c>
      <c r="O393" s="37">
        <f>IF(H393&lt;32,SteamProperties!$F$24*Radiators!F393,IF(H393&lt;56,SteamProperties!$F$25*Radiators!F393,SteamProperties!$F$26*Radiators!F393))</f>
        <v>0</v>
      </c>
      <c r="P393" s="37">
        <f>IF(H393&lt;32,Calculations!$F$5*Radiators!F393,IF(H393&lt;56,Calculations!$F$6*Radiators!F393,Calculations!$F$7*Radiators!F393))</f>
        <v>0</v>
      </c>
      <c r="Q393" s="37">
        <f t="shared" si="27"/>
        <v>0</v>
      </c>
    </row>
    <row r="394" spans="2:17">
      <c r="B394" s="33"/>
      <c r="C394" s="34"/>
      <c r="D394" s="34"/>
      <c r="E394" s="34"/>
      <c r="F394" s="34"/>
      <c r="G394" s="34"/>
      <c r="H394" s="34">
        <f>IFERROR(IF(B394="Column",INDEX(RadCompList!$C$4:$G$13,MATCH(C394,RadCompList!$B$4:$B$13),MATCH(Radiators!D394,RadCompList!$C$3:$G$3)),IF(B394="Tube",INDEX(RadCompList!$C$16:$I$22,MATCH(C394,RadCompList!$B$16:$B$22),MATCH(Radiators!D394,RadCompList!$C$15:$I$15)),IF(B394="Cast Rad/Conv",INDEX(RadCompList!$C$28:$D$28,MATCH(C394,RadCompList!$B$28),MATCH(Radiators!D394,RadCompList!$C$27:$D$27)),IF(B394="Copper Cabinet",(INDEX(RadCompList!$E$39:$J$78,MATCH(Radiators!D394,RadCompList!$D$39:$D$78,0),MATCH(C394,RadCompList!$E$38:$J$38,0))),0))))*E394,0)*$A$2</f>
        <v>0</v>
      </c>
      <c r="I394" s="34">
        <f t="shared" si="25"/>
        <v>0</v>
      </c>
      <c r="J394" s="35">
        <f>IFERROR(VLOOKUP(G394,VentList!$A$1:$D$198,2,FALSE),0)</f>
        <v>0</v>
      </c>
      <c r="K394" s="26">
        <f>IFERROR(VLOOKUP(B394,RadCompList!$P$3:$Q$6,2,FALSE)*H394,0)</f>
        <v>0</v>
      </c>
      <c r="L394" s="26" t="str">
        <f t="shared" si="28"/>
        <v>3/4</v>
      </c>
      <c r="M394" s="37">
        <f>Main!$G$8-0.0001306*N394^2 * F394*(1+3.6/VLOOKUP(L394,Calculations!$B$4:$F$15,2,FALSE))/(3600*Main!$C$7*VLOOKUP(L394,Calculations!$B$4:$F$15,2,FALSE)^5)</f>
        <v>0.14820436411902377</v>
      </c>
      <c r="N394" s="37">
        <f t="shared" si="26"/>
        <v>0</v>
      </c>
      <c r="O394" s="37">
        <f>IF(H394&lt;32,SteamProperties!$F$24*Radiators!F394,IF(H394&lt;56,SteamProperties!$F$25*Radiators!F394,SteamProperties!$F$26*Radiators!F394))</f>
        <v>0</v>
      </c>
      <c r="P394" s="37">
        <f>IF(H394&lt;32,Calculations!$F$5*Radiators!F394,IF(H394&lt;56,Calculations!$F$6*Radiators!F394,Calculations!$F$7*Radiators!F394))</f>
        <v>0</v>
      </c>
      <c r="Q394" s="37">
        <f t="shared" si="27"/>
        <v>0</v>
      </c>
    </row>
    <row r="395" spans="2:17">
      <c r="B395" s="33"/>
      <c r="C395" s="34"/>
      <c r="D395" s="34"/>
      <c r="E395" s="34"/>
      <c r="F395" s="34"/>
      <c r="G395" s="34"/>
      <c r="H395" s="34">
        <f>IFERROR(IF(B395="Column",INDEX(RadCompList!$C$4:$G$13,MATCH(C395,RadCompList!$B$4:$B$13),MATCH(Radiators!D395,RadCompList!$C$3:$G$3)),IF(B395="Tube",INDEX(RadCompList!$C$16:$I$22,MATCH(C395,RadCompList!$B$16:$B$22),MATCH(Radiators!D395,RadCompList!$C$15:$I$15)),IF(B395="Cast Rad/Conv",INDEX(RadCompList!$C$28:$D$28,MATCH(C395,RadCompList!$B$28),MATCH(Radiators!D395,RadCompList!$C$27:$D$27)),IF(B395="Copper Cabinet",(INDEX(RadCompList!$E$39:$J$78,MATCH(Radiators!D395,RadCompList!$D$39:$D$78,0),MATCH(C395,RadCompList!$E$38:$J$38,0))),0))))*E395,0)*$A$2</f>
        <v>0</v>
      </c>
      <c r="I395" s="34">
        <f t="shared" si="25"/>
        <v>0</v>
      </c>
      <c r="J395" s="35">
        <f>IFERROR(VLOOKUP(G395,VentList!$A$1:$D$198,2,FALSE),0)</f>
        <v>0</v>
      </c>
      <c r="K395" s="26">
        <f>IFERROR(VLOOKUP(B395,RadCompList!$P$3:$Q$6,2,FALSE)*H395,0)</f>
        <v>0</v>
      </c>
      <c r="L395" s="26" t="str">
        <f t="shared" si="28"/>
        <v>3/4</v>
      </c>
      <c r="M395" s="37">
        <f>Main!$G$8-0.0001306*N395^2 * F395*(1+3.6/VLOOKUP(L395,Calculations!$B$4:$F$15,2,FALSE))/(3600*Main!$C$7*VLOOKUP(L395,Calculations!$B$4:$F$15,2,FALSE)^5)</f>
        <v>0.14820436411902377</v>
      </c>
      <c r="N395" s="37">
        <f t="shared" si="26"/>
        <v>0</v>
      </c>
      <c r="O395" s="37">
        <f>IF(H395&lt;32,SteamProperties!$F$24*Radiators!F395,IF(H395&lt;56,SteamProperties!$F$25*Radiators!F395,SteamProperties!$F$26*Radiators!F395))</f>
        <v>0</v>
      </c>
      <c r="P395" s="37">
        <f>IF(H395&lt;32,Calculations!$F$5*Radiators!F395,IF(H395&lt;56,Calculations!$F$6*Radiators!F395,Calculations!$F$7*Radiators!F395))</f>
        <v>0</v>
      </c>
      <c r="Q395" s="37">
        <f t="shared" si="27"/>
        <v>0</v>
      </c>
    </row>
    <row r="396" spans="2:17">
      <c r="B396" s="33"/>
      <c r="C396" s="34"/>
      <c r="D396" s="34"/>
      <c r="E396" s="34"/>
      <c r="F396" s="34"/>
      <c r="G396" s="34"/>
      <c r="H396" s="34">
        <f>IFERROR(IF(B396="Column",INDEX(RadCompList!$C$4:$G$13,MATCH(C396,RadCompList!$B$4:$B$13),MATCH(Radiators!D396,RadCompList!$C$3:$G$3)),IF(B396="Tube",INDEX(RadCompList!$C$16:$I$22,MATCH(C396,RadCompList!$B$16:$B$22),MATCH(Radiators!D396,RadCompList!$C$15:$I$15)),IF(B396="Cast Rad/Conv",INDEX(RadCompList!$C$28:$D$28,MATCH(C396,RadCompList!$B$28),MATCH(Radiators!D396,RadCompList!$C$27:$D$27)),IF(B396="Copper Cabinet",(INDEX(RadCompList!$E$39:$J$78,MATCH(Radiators!D396,RadCompList!$D$39:$D$78,0),MATCH(C396,RadCompList!$E$38:$J$38,0))),0))))*E396,0)*$A$2</f>
        <v>0</v>
      </c>
      <c r="I396" s="34">
        <f t="shared" si="25"/>
        <v>0</v>
      </c>
      <c r="J396" s="35">
        <f>IFERROR(VLOOKUP(G396,VentList!$A$1:$D$198,2,FALSE),0)</f>
        <v>0</v>
      </c>
      <c r="K396" s="26">
        <f>IFERROR(VLOOKUP(B396,RadCompList!$P$3:$Q$6,2,FALSE)*H396,0)</f>
        <v>0</v>
      </c>
      <c r="L396" s="26" t="str">
        <f t="shared" si="28"/>
        <v>3/4</v>
      </c>
      <c r="M396" s="37">
        <f>Main!$G$8-0.0001306*N396^2 * F396*(1+3.6/VLOOKUP(L396,Calculations!$B$4:$F$15,2,FALSE))/(3600*Main!$C$7*VLOOKUP(L396,Calculations!$B$4:$F$15,2,FALSE)^5)</f>
        <v>0.14820436411902377</v>
      </c>
      <c r="N396" s="37">
        <f t="shared" si="26"/>
        <v>0</v>
      </c>
      <c r="O396" s="37">
        <f>IF(H396&lt;32,SteamProperties!$F$24*Radiators!F396,IF(H396&lt;56,SteamProperties!$F$25*Radiators!F396,SteamProperties!$F$26*Radiators!F396))</f>
        <v>0</v>
      </c>
      <c r="P396" s="37">
        <f>IF(H396&lt;32,Calculations!$F$5*Radiators!F396,IF(H396&lt;56,Calculations!$F$6*Radiators!F396,Calculations!$F$7*Radiators!F396))</f>
        <v>0</v>
      </c>
      <c r="Q396" s="37">
        <f t="shared" si="27"/>
        <v>0</v>
      </c>
    </row>
    <row r="397" spans="2:17">
      <c r="B397" s="33"/>
      <c r="C397" s="34"/>
      <c r="D397" s="34"/>
      <c r="E397" s="34"/>
      <c r="F397" s="34"/>
      <c r="G397" s="34"/>
      <c r="H397" s="34">
        <f>IFERROR(IF(B397="Column",INDEX(RadCompList!$C$4:$G$13,MATCH(C397,RadCompList!$B$4:$B$13),MATCH(Radiators!D397,RadCompList!$C$3:$G$3)),IF(B397="Tube",INDEX(RadCompList!$C$16:$I$22,MATCH(C397,RadCompList!$B$16:$B$22),MATCH(Radiators!D397,RadCompList!$C$15:$I$15)),IF(B397="Cast Rad/Conv",INDEX(RadCompList!$C$28:$D$28,MATCH(C397,RadCompList!$B$28),MATCH(Radiators!D397,RadCompList!$C$27:$D$27)),IF(B397="Copper Cabinet",(INDEX(RadCompList!$E$39:$J$78,MATCH(Radiators!D397,RadCompList!$D$39:$D$78,0),MATCH(C397,RadCompList!$E$38:$J$38,0))),0))))*E397,0)*$A$2</f>
        <v>0</v>
      </c>
      <c r="I397" s="34">
        <f t="shared" si="25"/>
        <v>0</v>
      </c>
      <c r="J397" s="35">
        <f>IFERROR(VLOOKUP(G397,VentList!$A$1:$D$198,2,FALSE),0)</f>
        <v>0</v>
      </c>
      <c r="K397" s="26">
        <f>IFERROR(VLOOKUP(B397,RadCompList!$P$3:$Q$6,2,FALSE)*H397,0)</f>
        <v>0</v>
      </c>
      <c r="L397" s="26" t="str">
        <f t="shared" si="28"/>
        <v>3/4</v>
      </c>
      <c r="M397" s="37">
        <f>Main!$G$8-0.0001306*N397^2 * F397*(1+3.6/VLOOKUP(L397,Calculations!$B$4:$F$15,2,FALSE))/(3600*Main!$C$7*VLOOKUP(L397,Calculations!$B$4:$F$15,2,FALSE)^5)</f>
        <v>0.14820436411902377</v>
      </c>
      <c r="N397" s="37">
        <f t="shared" si="26"/>
        <v>0</v>
      </c>
      <c r="O397" s="37">
        <f>IF(H397&lt;32,SteamProperties!$F$24*Radiators!F397,IF(H397&lt;56,SteamProperties!$F$25*Radiators!F397,SteamProperties!$F$26*Radiators!F397))</f>
        <v>0</v>
      </c>
      <c r="P397" s="37">
        <f>IF(H397&lt;32,Calculations!$F$5*Radiators!F397,IF(H397&lt;56,Calculations!$F$6*Radiators!F397,Calculations!$F$7*Radiators!F397))</f>
        <v>0</v>
      </c>
      <c r="Q397" s="37">
        <f t="shared" si="27"/>
        <v>0</v>
      </c>
    </row>
    <row r="398" spans="2:17">
      <c r="B398" s="33"/>
      <c r="C398" s="34"/>
      <c r="D398" s="34"/>
      <c r="E398" s="34"/>
      <c r="F398" s="34"/>
      <c r="G398" s="34"/>
      <c r="H398" s="34">
        <f>IFERROR(IF(B398="Column",INDEX(RadCompList!$C$4:$G$13,MATCH(C398,RadCompList!$B$4:$B$13),MATCH(Radiators!D398,RadCompList!$C$3:$G$3)),IF(B398="Tube",INDEX(RadCompList!$C$16:$I$22,MATCH(C398,RadCompList!$B$16:$B$22),MATCH(Radiators!D398,RadCompList!$C$15:$I$15)),IF(B398="Cast Rad/Conv",INDEX(RadCompList!$C$28:$D$28,MATCH(C398,RadCompList!$B$28),MATCH(Radiators!D398,RadCompList!$C$27:$D$27)),IF(B398="Copper Cabinet",(INDEX(RadCompList!$E$39:$J$78,MATCH(Radiators!D398,RadCompList!$D$39:$D$78,0),MATCH(C398,RadCompList!$E$38:$J$38,0))),0))))*E398,0)*$A$2</f>
        <v>0</v>
      </c>
      <c r="I398" s="34">
        <f t="shared" si="25"/>
        <v>0</v>
      </c>
      <c r="J398" s="35">
        <f>IFERROR(VLOOKUP(G398,VentList!$A$1:$D$198,2,FALSE),0)</f>
        <v>0</v>
      </c>
      <c r="K398" s="26">
        <f>IFERROR(VLOOKUP(B398,RadCompList!$P$3:$Q$6,2,FALSE)*H398,0)</f>
        <v>0</v>
      </c>
      <c r="L398" s="26" t="str">
        <f t="shared" si="28"/>
        <v>3/4</v>
      </c>
      <c r="M398" s="37">
        <f>Main!$G$8-0.0001306*N398^2 * F398*(1+3.6/VLOOKUP(L398,Calculations!$B$4:$F$15,2,FALSE))/(3600*Main!$C$7*VLOOKUP(L398,Calculations!$B$4:$F$15,2,FALSE)^5)</f>
        <v>0.14820436411902377</v>
      </c>
      <c r="N398" s="37">
        <f t="shared" si="26"/>
        <v>0</v>
      </c>
      <c r="O398" s="37">
        <f>IF(H398&lt;32,SteamProperties!$F$24*Radiators!F398,IF(H398&lt;56,SteamProperties!$F$25*Radiators!F398,SteamProperties!$F$26*Radiators!F398))</f>
        <v>0</v>
      </c>
      <c r="P398" s="37">
        <f>IF(H398&lt;32,Calculations!$F$5*Radiators!F398,IF(H398&lt;56,Calculations!$F$6*Radiators!F398,Calculations!$F$7*Radiators!F398))</f>
        <v>0</v>
      </c>
      <c r="Q398" s="37">
        <f t="shared" si="27"/>
        <v>0</v>
      </c>
    </row>
    <row r="399" spans="2:17">
      <c r="B399" s="33"/>
      <c r="C399" s="34"/>
      <c r="D399" s="34"/>
      <c r="E399" s="34"/>
      <c r="F399" s="34"/>
      <c r="G399" s="34"/>
      <c r="H399" s="34">
        <f>IFERROR(IF(B399="Column",INDEX(RadCompList!$C$4:$G$13,MATCH(C399,RadCompList!$B$4:$B$13),MATCH(Radiators!D399,RadCompList!$C$3:$G$3)),IF(B399="Tube",INDEX(RadCompList!$C$16:$I$22,MATCH(C399,RadCompList!$B$16:$B$22),MATCH(Radiators!D399,RadCompList!$C$15:$I$15)),IF(B399="Cast Rad/Conv",INDEX(RadCompList!$C$28:$D$28,MATCH(C399,RadCompList!$B$28),MATCH(Radiators!D399,RadCompList!$C$27:$D$27)),IF(B399="Copper Cabinet",(INDEX(RadCompList!$E$39:$J$78,MATCH(Radiators!D399,RadCompList!$D$39:$D$78,0),MATCH(C399,RadCompList!$E$38:$J$38,0))),0))))*E399,0)*$A$2</f>
        <v>0</v>
      </c>
      <c r="I399" s="34">
        <f t="shared" si="25"/>
        <v>0</v>
      </c>
      <c r="J399" s="35">
        <f>IFERROR(VLOOKUP(G399,VentList!$A$1:$D$198,2,FALSE),0)</f>
        <v>0</v>
      </c>
      <c r="K399" s="26">
        <f>IFERROR(VLOOKUP(B399,RadCompList!$P$3:$Q$6,2,FALSE)*H399,0)</f>
        <v>0</v>
      </c>
      <c r="L399" s="26" t="str">
        <f t="shared" si="28"/>
        <v>3/4</v>
      </c>
      <c r="M399" s="37">
        <f>Main!$G$8-0.0001306*N399^2 * F399*(1+3.6/VLOOKUP(L399,Calculations!$B$4:$F$15,2,FALSE))/(3600*Main!$C$7*VLOOKUP(L399,Calculations!$B$4:$F$15,2,FALSE)^5)</f>
        <v>0.14820436411902377</v>
      </c>
      <c r="N399" s="37">
        <f t="shared" si="26"/>
        <v>0</v>
      </c>
      <c r="O399" s="37">
        <f>IF(H399&lt;32,SteamProperties!$F$24*Radiators!F399,IF(H399&lt;56,SteamProperties!$F$25*Radiators!F399,SteamProperties!$F$26*Radiators!F399))</f>
        <v>0</v>
      </c>
      <c r="P399" s="37">
        <f>IF(H399&lt;32,Calculations!$F$5*Radiators!F399,IF(H399&lt;56,Calculations!$F$6*Radiators!F399,Calculations!$F$7*Radiators!F399))</f>
        <v>0</v>
      </c>
      <c r="Q399" s="37">
        <f t="shared" si="27"/>
        <v>0</v>
      </c>
    </row>
    <row r="400" spans="2:17">
      <c r="B400" s="33"/>
      <c r="C400" s="34"/>
      <c r="D400" s="34"/>
      <c r="E400" s="34"/>
      <c r="F400" s="34"/>
      <c r="G400" s="34"/>
      <c r="H400" s="34">
        <f>IFERROR(IF(B400="Column",INDEX(RadCompList!$C$4:$G$13,MATCH(C400,RadCompList!$B$4:$B$13),MATCH(Radiators!D400,RadCompList!$C$3:$G$3)),IF(B400="Tube",INDEX(RadCompList!$C$16:$I$22,MATCH(C400,RadCompList!$B$16:$B$22),MATCH(Radiators!D400,RadCompList!$C$15:$I$15)),IF(B400="Cast Rad/Conv",INDEX(RadCompList!$C$28:$D$28,MATCH(C400,RadCompList!$B$28),MATCH(Radiators!D400,RadCompList!$C$27:$D$27)),IF(B400="Copper Cabinet",(INDEX(RadCompList!$E$39:$J$78,MATCH(Radiators!D400,RadCompList!$D$39:$D$78,0),MATCH(C400,RadCompList!$E$38:$J$38,0))),0))))*E400,0)*$A$2</f>
        <v>0</v>
      </c>
      <c r="I400" s="34">
        <f t="shared" si="25"/>
        <v>0</v>
      </c>
      <c r="J400" s="35">
        <f>IFERROR(VLOOKUP(G400,VentList!$A$1:$D$198,2,FALSE),0)</f>
        <v>0</v>
      </c>
      <c r="K400" s="26">
        <f>IFERROR(VLOOKUP(B400,RadCompList!$P$3:$Q$6,2,FALSE)*H400,0)</f>
        <v>0</v>
      </c>
      <c r="L400" s="26" t="str">
        <f t="shared" si="28"/>
        <v>3/4</v>
      </c>
      <c r="M400" s="37">
        <f>Main!$G$8-0.0001306*N400^2 * F400*(1+3.6/VLOOKUP(L400,Calculations!$B$4:$F$15,2,FALSE))/(3600*Main!$C$7*VLOOKUP(L400,Calculations!$B$4:$F$15,2,FALSE)^5)</f>
        <v>0.14820436411902377</v>
      </c>
      <c r="N400" s="37">
        <f t="shared" si="26"/>
        <v>0</v>
      </c>
      <c r="O400" s="37">
        <f>IF(H400&lt;32,SteamProperties!$F$24*Radiators!F400,IF(H400&lt;56,SteamProperties!$F$25*Radiators!F400,SteamProperties!$F$26*Radiators!F400))</f>
        <v>0</v>
      </c>
      <c r="P400" s="37">
        <f>IF(H400&lt;32,Calculations!$F$5*Radiators!F400,IF(H400&lt;56,Calculations!$F$6*Radiators!F400,Calculations!$F$7*Radiators!F400))</f>
        <v>0</v>
      </c>
      <c r="Q400" s="37">
        <f t="shared" si="27"/>
        <v>0</v>
      </c>
    </row>
    <row r="401" spans="6:6">
      <c r="F401" s="34"/>
    </row>
    <row r="402" spans="6:6">
      <c r="F402" s="34"/>
    </row>
  </sheetData>
  <dataValidations count="1">
    <dataValidation type="whole" allowBlank="1" showInputMessage="1" showErrorMessage="1" sqref="F2:F402">
      <formula1>0</formula1>
      <formula2>10000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RadCompList!$P$3:$P$7</xm:f>
          </x14:formula1>
          <xm:sqref>B1048576 B2:B400</xm:sqref>
        </x14:dataValidation>
        <x14:dataValidation type="list" allowBlank="1" showInputMessage="1" showErrorMessage="1">
          <x14:formula1>
            <xm:f>VentList!$A$39:$A$198</xm:f>
          </x14:formula1>
          <xm:sqref>G2:G423</xm:sqref>
        </x14:dataValidation>
        <x14:dataValidation type="list" allowBlank="1" showInputMessage="1" showErrorMessage="1">
          <x14:formula1>
            <xm:f>IF(B2="Column",RadCompList!$B$4:$B$13,IF(B2="Tube",RadCompList!$B$16:$B$22,IF(B2="Cast Rad/Conv",RadCompList!$B$28,IF(B2="Copper Cabinet",RadCompList!$E$38:$J$38))))</xm:f>
          </x14:formula1>
          <xm:sqref>C2:C400</xm:sqref>
        </x14:dataValidation>
        <x14:dataValidation type="list" allowBlank="1" showInputMessage="1" showErrorMessage="1">
          <x14:formula1>
            <xm:f>IF(B2="Column",RadCompList!$C$3:$G$3,IF(B2="Tube",RadCompList!$C$15:$I$15,IF(B2="Cast Rad/Conv",RadCompList!$C$27:$D$27,IF(B2="Copper Cabinet",RadCompList!$D$39:$D$78))))</xm:f>
          </x14:formula1>
          <xm:sqref>D2:D400</xm:sqref>
        </x14:dataValidation>
        <x14:dataValidation type="list" allowBlank="1" showInputMessage="1" showErrorMessage="1">
          <x14:formula1>
            <xm:f>RadCompList!$Q$11:$Q$20</xm:f>
          </x14:formula1>
          <xm:sqref>E2:E400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8"/>
  <sheetViews>
    <sheetView workbookViewId="0">
      <selection activeCell="B1" sqref="B1"/>
    </sheetView>
  </sheetViews>
  <sheetFormatPr defaultRowHeight="14"/>
  <cols>
    <col min="2" max="2" width="26.25" bestFit="1" customWidth="1"/>
    <col min="3" max="3" width="6.75" bestFit="1" customWidth="1"/>
    <col min="5" max="5" width="21.33203125" bestFit="1" customWidth="1"/>
    <col min="6" max="6" width="6.75" bestFit="1" customWidth="1"/>
  </cols>
  <sheetData>
    <row r="2" spans="2:6">
      <c r="B2" s="54" t="s">
        <v>379</v>
      </c>
      <c r="C2" s="26"/>
      <c r="D2" s="26"/>
      <c r="E2" s="26"/>
    </row>
    <row r="4" spans="2:6">
      <c r="B4" s="60" t="s">
        <v>367</v>
      </c>
      <c r="C4" s="61"/>
      <c r="E4" s="60" t="s">
        <v>351</v>
      </c>
      <c r="F4" s="61"/>
    </row>
    <row r="5" spans="2:6">
      <c r="B5" s="62" t="s">
        <v>311</v>
      </c>
      <c r="C5" s="63"/>
      <c r="E5" s="62" t="s">
        <v>313</v>
      </c>
      <c r="F5" s="63">
        <f>Main!C3</f>
        <v>30</v>
      </c>
    </row>
    <row r="6" spans="2:6">
      <c r="B6" s="62" t="s">
        <v>312</v>
      </c>
      <c r="C6" s="63"/>
      <c r="E6" s="62" t="s">
        <v>352</v>
      </c>
      <c r="F6" s="63">
        <f>ROUNDUP(Main!C9,0)</f>
        <v>12</v>
      </c>
    </row>
    <row r="7" spans="2:6">
      <c r="B7" s="62" t="s">
        <v>377</v>
      </c>
      <c r="C7" s="63"/>
      <c r="E7" s="62" t="s">
        <v>353</v>
      </c>
      <c r="F7" s="63">
        <f>ROUNDUP(Main!K10,0)</f>
        <v>7</v>
      </c>
    </row>
    <row r="8" spans="2:6">
      <c r="B8" s="62" t="s">
        <v>376</v>
      </c>
      <c r="C8" s="63">
        <f>Main!C2</f>
        <v>300000</v>
      </c>
      <c r="E8" s="67" t="s">
        <v>387</v>
      </c>
      <c r="F8" s="68">
        <f>Main!K5</f>
        <v>20.590653333333336</v>
      </c>
    </row>
    <row r="9" spans="2:6">
      <c r="B9" s="64" t="s">
        <v>313</v>
      </c>
      <c r="C9" s="27">
        <f>Main!C3</f>
        <v>30</v>
      </c>
    </row>
    <row r="12" spans="2:6">
      <c r="B12" s="60" t="s">
        <v>372</v>
      </c>
      <c r="C12" s="61"/>
    </row>
    <row r="13" spans="2:6">
      <c r="B13" s="62" t="s">
        <v>384</v>
      </c>
      <c r="C13" s="65">
        <f>Main!C22</f>
        <v>104176</v>
      </c>
    </row>
    <row r="14" spans="2:6">
      <c r="B14" s="62" t="s">
        <v>383</v>
      </c>
      <c r="C14" s="63">
        <f>SUM(Radiators!H:H)</f>
        <v>168.9</v>
      </c>
    </row>
    <row r="15" spans="2:6">
      <c r="B15" s="66" t="s">
        <v>385</v>
      </c>
      <c r="C15" s="63">
        <f>Main!C20/240</f>
        <v>227.5</v>
      </c>
    </row>
    <row r="16" spans="2:6">
      <c r="B16" s="66" t="s">
        <v>386</v>
      </c>
      <c r="C16" s="69">
        <f>Main!C19/240</f>
        <v>0.17412371134020616</v>
      </c>
    </row>
    <row r="17" spans="2:6">
      <c r="B17" s="62" t="s">
        <v>1</v>
      </c>
      <c r="C17" s="63">
        <f>COUNTIF(Radiators!B:B,"Column")</f>
        <v>1</v>
      </c>
    </row>
    <row r="18" spans="2:6">
      <c r="B18" s="62" t="s">
        <v>373</v>
      </c>
      <c r="C18" s="63">
        <f>COUNTIF(Radiators!B:B,"Tube")</f>
        <v>1</v>
      </c>
    </row>
    <row r="19" spans="2:6">
      <c r="B19" s="62" t="s">
        <v>374</v>
      </c>
      <c r="C19" s="63">
        <f>COUNTIF(Radiators!B:B,"Cast Rad/Conv")</f>
        <v>1</v>
      </c>
    </row>
    <row r="20" spans="2:6">
      <c r="B20" s="64" t="s">
        <v>375</v>
      </c>
      <c r="C20" s="27">
        <f>COUNTIF(Radiators!B:B,"Copper Cabinet")</f>
        <v>1</v>
      </c>
    </row>
    <row r="22" spans="2:6" ht="14.5" thickBot="1"/>
    <row r="23" spans="2:6">
      <c r="B23" s="70" t="s">
        <v>388</v>
      </c>
      <c r="C23" s="71"/>
      <c r="D23" s="71"/>
      <c r="E23" s="71"/>
      <c r="F23" s="72"/>
    </row>
    <row r="24" spans="2:6">
      <c r="B24" s="73"/>
      <c r="C24" s="59"/>
      <c r="D24" s="59"/>
      <c r="E24" s="59"/>
      <c r="F24" s="74"/>
    </row>
    <row r="25" spans="2:6">
      <c r="B25" s="73"/>
      <c r="C25" s="59"/>
      <c r="D25" s="59"/>
      <c r="E25" s="59"/>
      <c r="F25" s="74"/>
    </row>
    <row r="26" spans="2:6">
      <c r="B26" s="73"/>
      <c r="C26" s="59"/>
      <c r="D26" s="59"/>
      <c r="E26" s="59"/>
      <c r="F26" s="74"/>
    </row>
    <row r="27" spans="2:6">
      <c r="B27" s="73"/>
      <c r="C27" s="59"/>
      <c r="D27" s="59"/>
      <c r="E27" s="59"/>
      <c r="F27" s="74"/>
    </row>
    <row r="28" spans="2:6">
      <c r="B28" s="73"/>
      <c r="C28" s="59"/>
      <c r="D28" s="59"/>
      <c r="E28" s="59"/>
      <c r="F28" s="74"/>
    </row>
    <row r="29" spans="2:6">
      <c r="B29" s="73"/>
      <c r="C29" s="59"/>
      <c r="D29" s="59"/>
      <c r="E29" s="59"/>
      <c r="F29" s="74"/>
    </row>
    <row r="30" spans="2:6">
      <c r="B30" s="73"/>
      <c r="C30" s="59"/>
      <c r="D30" s="59"/>
      <c r="E30" s="59"/>
      <c r="F30" s="74"/>
    </row>
    <row r="31" spans="2:6">
      <c r="B31" s="73"/>
      <c r="C31" s="59"/>
      <c r="D31" s="59"/>
      <c r="E31" s="59"/>
      <c r="F31" s="74"/>
    </row>
    <row r="32" spans="2:6">
      <c r="B32" s="73"/>
      <c r="C32" s="59"/>
      <c r="D32" s="59"/>
      <c r="E32" s="59"/>
      <c r="F32" s="74"/>
    </row>
    <row r="33" spans="2:6">
      <c r="B33" s="73"/>
      <c r="C33" s="59"/>
      <c r="D33" s="59"/>
      <c r="E33" s="59"/>
      <c r="F33" s="74"/>
    </row>
    <row r="34" spans="2:6">
      <c r="B34" s="73"/>
      <c r="C34" s="59"/>
      <c r="D34" s="59"/>
      <c r="E34" s="59"/>
      <c r="F34" s="74"/>
    </row>
    <row r="35" spans="2:6">
      <c r="B35" s="73"/>
      <c r="C35" s="59"/>
      <c r="D35" s="59"/>
      <c r="E35" s="59"/>
      <c r="F35" s="74"/>
    </row>
    <row r="36" spans="2:6">
      <c r="B36" s="73"/>
      <c r="C36" s="59"/>
      <c r="D36" s="59"/>
      <c r="E36" s="59"/>
      <c r="F36" s="74"/>
    </row>
    <row r="37" spans="2:6">
      <c r="B37" s="73"/>
      <c r="C37" s="59"/>
      <c r="D37" s="59"/>
      <c r="E37" s="59"/>
      <c r="F37" s="74"/>
    </row>
    <row r="38" spans="2:6">
      <c r="B38" s="73"/>
      <c r="C38" s="59"/>
      <c r="D38" s="59"/>
      <c r="E38" s="59"/>
      <c r="F38" s="74"/>
    </row>
    <row r="39" spans="2:6">
      <c r="B39" s="73"/>
      <c r="C39" s="59"/>
      <c r="D39" s="59"/>
      <c r="E39" s="59"/>
      <c r="F39" s="74"/>
    </row>
    <row r="40" spans="2:6">
      <c r="B40" s="73"/>
      <c r="C40" s="59"/>
      <c r="D40" s="59"/>
      <c r="E40" s="59"/>
      <c r="F40" s="74"/>
    </row>
    <row r="41" spans="2:6">
      <c r="B41" s="73"/>
      <c r="C41" s="59"/>
      <c r="D41" s="59"/>
      <c r="E41" s="59"/>
      <c r="F41" s="74"/>
    </row>
    <row r="42" spans="2:6">
      <c r="B42" s="73"/>
      <c r="C42" s="59"/>
      <c r="D42" s="59"/>
      <c r="E42" s="59"/>
      <c r="F42" s="74"/>
    </row>
    <row r="43" spans="2:6">
      <c r="B43" s="73"/>
      <c r="C43" s="59"/>
      <c r="D43" s="59"/>
      <c r="E43" s="59"/>
      <c r="F43" s="74"/>
    </row>
    <row r="44" spans="2:6">
      <c r="B44" s="73"/>
      <c r="C44" s="59"/>
      <c r="D44" s="59"/>
      <c r="E44" s="59"/>
      <c r="F44" s="74"/>
    </row>
    <row r="45" spans="2:6">
      <c r="B45" s="73"/>
      <c r="C45" s="59"/>
      <c r="D45" s="59"/>
      <c r="E45" s="59"/>
      <c r="F45" s="74"/>
    </row>
    <row r="46" spans="2:6">
      <c r="B46" s="73"/>
      <c r="C46" s="59"/>
      <c r="D46" s="59"/>
      <c r="E46" s="59"/>
      <c r="F46" s="74"/>
    </row>
    <row r="47" spans="2:6">
      <c r="B47" s="73"/>
      <c r="C47" s="59"/>
      <c r="D47" s="59"/>
      <c r="E47" s="59"/>
      <c r="F47" s="74"/>
    </row>
    <row r="48" spans="2:6" ht="14.5" thickBot="1">
      <c r="B48" s="75"/>
      <c r="C48" s="76"/>
      <c r="D48" s="76"/>
      <c r="E48" s="76"/>
      <c r="F48" s="77"/>
    </row>
  </sheetData>
  <mergeCells count="3">
    <mergeCell ref="B4:C4"/>
    <mergeCell ref="E4:F4"/>
    <mergeCell ref="B12:C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workbookViewId="0">
      <selection activeCell="B8" sqref="B8:F8"/>
    </sheetView>
  </sheetViews>
  <sheetFormatPr defaultRowHeight="14"/>
  <cols>
    <col min="5" max="5" width="13.83203125" bestFit="1" customWidth="1"/>
  </cols>
  <sheetData>
    <row r="2" spans="2:15">
      <c r="B2" t="s">
        <v>329</v>
      </c>
    </row>
    <row r="3" spans="2:15">
      <c r="C3" t="s">
        <v>305</v>
      </c>
      <c r="D3" t="s">
        <v>330</v>
      </c>
      <c r="E3" t="s">
        <v>336</v>
      </c>
      <c r="F3" t="s">
        <v>344</v>
      </c>
      <c r="O3" t="s">
        <v>331</v>
      </c>
    </row>
    <row r="4" spans="2:15">
      <c r="B4" s="51" t="s">
        <v>281</v>
      </c>
      <c r="C4">
        <v>0.66200000000000003</v>
      </c>
      <c r="D4">
        <f>(PI()*(C4/2)^2)/144</f>
        <v>2.3902502272218846E-3</v>
      </c>
      <c r="E4">
        <v>82</v>
      </c>
      <c r="F4">
        <v>1.3657407407407405E-3</v>
      </c>
    </row>
    <row r="5" spans="2:15">
      <c r="B5" s="51" t="s">
        <v>282</v>
      </c>
      <c r="C5">
        <v>0.82399999999999995</v>
      </c>
      <c r="D5">
        <f t="shared" ref="D5:D15" si="0">(PI()*(C5/2)^2)/144</f>
        <v>3.7032396068815677E-3</v>
      </c>
      <c r="E5">
        <v>100</v>
      </c>
      <c r="F5">
        <v>3.0671296296296297E-3</v>
      </c>
      <c r="O5">
        <v>1</v>
      </c>
    </row>
    <row r="6" spans="2:15">
      <c r="B6" s="51" t="s">
        <v>332</v>
      </c>
      <c r="C6">
        <v>1.0489999999999999</v>
      </c>
      <c r="D6">
        <f t="shared" si="0"/>
        <v>6.0017564194494132E-3</v>
      </c>
      <c r="E6">
        <v>123</v>
      </c>
      <c r="F6">
        <v>5.4571759259259252E-3</v>
      </c>
      <c r="O6">
        <v>2</v>
      </c>
    </row>
    <row r="7" spans="2:15">
      <c r="B7" s="51" t="s">
        <v>283</v>
      </c>
      <c r="C7">
        <v>1.38</v>
      </c>
      <c r="D7">
        <f t="shared" si="0"/>
        <v>1.0386890710931251E-2</v>
      </c>
      <c r="E7">
        <v>152</v>
      </c>
      <c r="F7">
        <v>8.5069444444444437E-3</v>
      </c>
      <c r="O7">
        <v>3</v>
      </c>
    </row>
    <row r="8" spans="2:15">
      <c r="B8" s="51" t="s">
        <v>284</v>
      </c>
      <c r="C8">
        <v>1.61</v>
      </c>
      <c r="D8">
        <f t="shared" si="0"/>
        <v>1.4137712356545318E-2</v>
      </c>
      <c r="E8">
        <v>173</v>
      </c>
      <c r="F8">
        <v>1.2268518518518519E-2</v>
      </c>
      <c r="O8">
        <v>4</v>
      </c>
    </row>
    <row r="9" spans="2:15">
      <c r="B9" s="51" t="s">
        <v>333</v>
      </c>
      <c r="C9">
        <v>2.0670000000000002</v>
      </c>
      <c r="D9">
        <f t="shared" si="0"/>
        <v>2.3302812595387509E-2</v>
      </c>
      <c r="E9">
        <v>212</v>
      </c>
      <c r="F9">
        <v>2.1817129629629631E-2</v>
      </c>
      <c r="O9">
        <v>5</v>
      </c>
    </row>
    <row r="10" spans="2:15">
      <c r="B10" s="51" t="s">
        <v>285</v>
      </c>
      <c r="C10">
        <v>2.4689999999999999</v>
      </c>
      <c r="D10">
        <f t="shared" si="0"/>
        <v>3.3248309538489382E-2</v>
      </c>
      <c r="E10">
        <v>252</v>
      </c>
      <c r="F10">
        <v>3.408564814814815E-2</v>
      </c>
      <c r="O10">
        <v>6</v>
      </c>
    </row>
    <row r="11" spans="2:15">
      <c r="B11" s="51" t="s">
        <v>334</v>
      </c>
      <c r="C11">
        <v>3.0680000000000001</v>
      </c>
      <c r="D11">
        <f t="shared" si="0"/>
        <v>5.1337900016324614E-2</v>
      </c>
      <c r="E11">
        <v>303</v>
      </c>
      <c r="F11">
        <v>4.9074074074074076E-2</v>
      </c>
      <c r="O11">
        <v>7</v>
      </c>
    </row>
    <row r="12" spans="2:15">
      <c r="B12" s="51" t="s">
        <v>286</v>
      </c>
      <c r="C12">
        <v>3.548</v>
      </c>
      <c r="D12">
        <f t="shared" si="0"/>
        <v>6.8658547513116341E-2</v>
      </c>
      <c r="E12">
        <v>342</v>
      </c>
      <c r="F12">
        <v>6.8171296296296299E-2</v>
      </c>
      <c r="O12">
        <v>8</v>
      </c>
    </row>
    <row r="13" spans="2:15">
      <c r="B13" s="51" t="s">
        <v>317</v>
      </c>
      <c r="C13">
        <v>4.0259999999999998</v>
      </c>
      <c r="D13">
        <f t="shared" si="0"/>
        <v>8.8404613621557618E-2</v>
      </c>
      <c r="E13">
        <v>381</v>
      </c>
      <c r="F13">
        <v>8.7268518518518523E-2</v>
      </c>
      <c r="O13">
        <v>9</v>
      </c>
    </row>
    <row r="14" spans="2:15">
      <c r="B14" s="51" t="s">
        <v>335</v>
      </c>
      <c r="C14">
        <v>5.0469999999999997</v>
      </c>
      <c r="D14">
        <f t="shared" si="0"/>
        <v>0.13892934837691631</v>
      </c>
      <c r="E14">
        <v>464</v>
      </c>
      <c r="F14">
        <v>0.1363425925925926</v>
      </c>
      <c r="O14">
        <v>10</v>
      </c>
    </row>
    <row r="15" spans="2:15">
      <c r="B15" s="51" t="s">
        <v>322</v>
      </c>
      <c r="C15">
        <v>6.0650000000000004</v>
      </c>
      <c r="D15">
        <f t="shared" si="0"/>
        <v>0.20062682470137852</v>
      </c>
      <c r="E15">
        <v>546</v>
      </c>
      <c r="F15">
        <v>0.19635416666666669</v>
      </c>
    </row>
    <row r="16" spans="2:15">
      <c r="B16" s="51"/>
    </row>
    <row r="17" spans="2:2">
      <c r="B17" s="51"/>
    </row>
    <row r="18" spans="2:2">
      <c r="B18" s="51"/>
    </row>
    <row r="19" spans="2:2">
      <c r="B19" s="51"/>
    </row>
    <row r="20" spans="2:2">
      <c r="B20" s="51"/>
    </row>
    <row r="21" spans="2:2">
      <c r="B21" s="5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H22" sqref="H22:H34"/>
    </sheetView>
  </sheetViews>
  <sheetFormatPr defaultRowHeight="14"/>
  <cols>
    <col min="8" max="8" width="11.25" bestFit="1" customWidth="1"/>
    <col min="10" max="10" width="15.6640625" bestFit="1" customWidth="1"/>
  </cols>
  <sheetData>
    <row r="1" spans="1:10" ht="56">
      <c r="A1" s="8" t="s">
        <v>32</v>
      </c>
      <c r="B1" s="8" t="s">
        <v>34</v>
      </c>
      <c r="C1" s="8" t="s">
        <v>36</v>
      </c>
      <c r="D1" s="56" t="s">
        <v>38</v>
      </c>
      <c r="E1" s="56"/>
      <c r="F1" s="56"/>
    </row>
    <row r="2" spans="1:10" ht="28">
      <c r="A2" s="12" t="s">
        <v>33</v>
      </c>
      <c r="B2" s="12" t="s">
        <v>35</v>
      </c>
      <c r="C2" s="12" t="s">
        <v>37</v>
      </c>
      <c r="D2" s="8" t="s">
        <v>39</v>
      </c>
      <c r="E2" s="8" t="s">
        <v>41</v>
      </c>
      <c r="F2" s="8" t="s">
        <v>42</v>
      </c>
    </row>
    <row r="3" spans="1:10">
      <c r="A3" s="12" t="s">
        <v>43</v>
      </c>
      <c r="B3" s="12" t="s">
        <v>44</v>
      </c>
      <c r="C3" s="12" t="s">
        <v>45</v>
      </c>
      <c r="D3" s="12" t="s">
        <v>40</v>
      </c>
      <c r="E3" s="12" t="s">
        <v>40</v>
      </c>
      <c r="F3" s="12" t="s">
        <v>40</v>
      </c>
    </row>
    <row r="4" spans="1:10">
      <c r="A4" s="13">
        <v>-2.456</v>
      </c>
      <c r="B4" s="13">
        <v>203</v>
      </c>
      <c r="C4" s="13">
        <v>31.8</v>
      </c>
      <c r="D4" s="13">
        <v>171</v>
      </c>
      <c r="E4" s="13">
        <v>976</v>
      </c>
      <c r="F4" s="13">
        <v>1147</v>
      </c>
      <c r="H4" s="13">
        <f>1/C6</f>
        <v>3.968253968253968E-2</v>
      </c>
      <c r="I4" s="13">
        <v>1</v>
      </c>
      <c r="J4">
        <f>406.956939*H4-15.228921</f>
        <v>0.92016388095238</v>
      </c>
    </row>
    <row r="5" spans="1:10">
      <c r="A5" s="13">
        <v>0</v>
      </c>
      <c r="B5" s="13">
        <v>212</v>
      </c>
      <c r="C5" s="13">
        <v>26.8</v>
      </c>
      <c r="D5" s="13">
        <v>180</v>
      </c>
      <c r="E5" s="13">
        <v>970</v>
      </c>
      <c r="F5" s="13">
        <v>1150</v>
      </c>
      <c r="H5" s="13">
        <f>1/C7</f>
        <v>4.2553191489361701E-2</v>
      </c>
      <c r="I5" s="13">
        <v>2</v>
      </c>
      <c r="J5">
        <f>406.956939*H5-15.228921</f>
        <v>2.0883955531914893</v>
      </c>
    </row>
    <row r="6" spans="1:10">
      <c r="A6" s="13">
        <v>1</v>
      </c>
      <c r="B6" s="13">
        <v>215</v>
      </c>
      <c r="C6" s="13">
        <v>25.2</v>
      </c>
      <c r="D6" s="13">
        <v>183</v>
      </c>
      <c r="E6" s="13">
        <v>968</v>
      </c>
      <c r="F6" s="13">
        <v>1151</v>
      </c>
    </row>
    <row r="7" spans="1:10">
      <c r="A7" s="13">
        <v>2</v>
      </c>
      <c r="B7" s="13">
        <v>219</v>
      </c>
      <c r="C7" s="13">
        <v>23.5</v>
      </c>
      <c r="D7" s="13">
        <v>187</v>
      </c>
      <c r="E7" s="13">
        <v>966</v>
      </c>
      <c r="F7" s="13">
        <v>1153</v>
      </c>
    </row>
    <row r="8" spans="1:10">
      <c r="A8" s="13">
        <v>3</v>
      </c>
      <c r="B8" s="13">
        <v>222</v>
      </c>
      <c r="C8" s="13">
        <v>22.3</v>
      </c>
      <c r="D8" s="13">
        <v>190</v>
      </c>
      <c r="E8" s="13">
        <v>964</v>
      </c>
      <c r="F8" s="13">
        <v>1154</v>
      </c>
    </row>
    <row r="9" spans="1:10">
      <c r="A9" s="13">
        <v>4</v>
      </c>
      <c r="B9" s="13">
        <v>224</v>
      </c>
      <c r="C9" s="13">
        <v>21.4</v>
      </c>
      <c r="D9" s="13">
        <v>192</v>
      </c>
      <c r="E9" s="13">
        <v>962</v>
      </c>
      <c r="F9" s="13">
        <v>1154</v>
      </c>
    </row>
    <row r="10" spans="1:10">
      <c r="A10" s="13">
        <v>5</v>
      </c>
      <c r="B10" s="13">
        <v>227</v>
      </c>
      <c r="C10" s="13">
        <v>20.100000000000001</v>
      </c>
      <c r="D10" s="13">
        <v>195</v>
      </c>
      <c r="E10" s="13">
        <v>960</v>
      </c>
      <c r="F10" s="13">
        <v>1155</v>
      </c>
    </row>
    <row r="11" spans="1:10">
      <c r="A11" s="13">
        <v>6</v>
      </c>
      <c r="B11" s="13">
        <v>230</v>
      </c>
      <c r="C11" s="13">
        <v>19.399999999999999</v>
      </c>
      <c r="D11" s="13">
        <v>198</v>
      </c>
      <c r="E11" s="13">
        <v>959</v>
      </c>
      <c r="F11" s="13">
        <v>1157</v>
      </c>
    </row>
    <row r="14" spans="1:10">
      <c r="E14" s="14"/>
      <c r="G14" s="14"/>
    </row>
    <row r="21" spans="1:11" ht="14.5" thickBot="1">
      <c r="A21" t="s">
        <v>289</v>
      </c>
      <c r="B21" s="57" t="s">
        <v>287</v>
      </c>
      <c r="C21" s="57"/>
      <c r="D21" s="57"/>
      <c r="E21" s="57"/>
      <c r="F21" s="57"/>
      <c r="G21" s="57"/>
      <c r="J21" t="s">
        <v>290</v>
      </c>
      <c r="K21" t="s">
        <v>303</v>
      </c>
    </row>
    <row r="22" spans="1:11" ht="14.5" thickBot="1">
      <c r="A22" s="38"/>
      <c r="B22" s="38" t="s">
        <v>275</v>
      </c>
      <c r="C22" s="38" t="s">
        <v>276</v>
      </c>
      <c r="D22" s="38" t="s">
        <v>277</v>
      </c>
      <c r="E22" s="38" t="s">
        <v>278</v>
      </c>
      <c r="F22" s="38" t="s">
        <v>279</v>
      </c>
      <c r="G22" s="38" t="s">
        <v>280</v>
      </c>
      <c r="H22" s="41" t="s">
        <v>288</v>
      </c>
      <c r="I22" s="41" t="s">
        <v>305</v>
      </c>
    </row>
    <row r="23" spans="1:11" ht="14.5" thickBot="1">
      <c r="A23" s="40" t="s">
        <v>281</v>
      </c>
      <c r="B23" s="39">
        <v>13</v>
      </c>
      <c r="C23" s="39">
        <v>22</v>
      </c>
      <c r="D23" s="39">
        <v>40</v>
      </c>
      <c r="E23" s="39">
        <v>60</v>
      </c>
      <c r="F23" s="39">
        <v>82</v>
      </c>
      <c r="G23" s="39">
        <v>106</v>
      </c>
      <c r="H23" s="42">
        <v>2.36</v>
      </c>
      <c r="I23" s="42">
        <v>0.622</v>
      </c>
      <c r="J23" s="44" t="s">
        <v>291</v>
      </c>
      <c r="K23" s="45" t="s">
        <v>250</v>
      </c>
    </row>
    <row r="24" spans="1:11" ht="14.5" thickBot="1">
      <c r="A24" s="40" t="s">
        <v>282</v>
      </c>
      <c r="B24" s="39">
        <v>15</v>
      </c>
      <c r="C24" s="39">
        <v>27</v>
      </c>
      <c r="D24" s="39">
        <v>50</v>
      </c>
      <c r="E24" s="39">
        <v>74</v>
      </c>
      <c r="F24" s="39">
        <v>100</v>
      </c>
      <c r="G24" s="39">
        <v>131</v>
      </c>
      <c r="H24" s="42">
        <v>5.3</v>
      </c>
      <c r="I24" s="42">
        <v>0.82399999999999995</v>
      </c>
      <c r="J24" t="s">
        <v>292</v>
      </c>
      <c r="K24" s="45" t="s">
        <v>251</v>
      </c>
    </row>
    <row r="25" spans="1:11" ht="14.5" thickBot="1">
      <c r="A25" s="40">
        <v>1</v>
      </c>
      <c r="B25" s="39">
        <v>19</v>
      </c>
      <c r="C25" s="39">
        <v>34</v>
      </c>
      <c r="D25" s="39">
        <v>61</v>
      </c>
      <c r="E25" s="39">
        <v>90</v>
      </c>
      <c r="F25" s="39">
        <v>123</v>
      </c>
      <c r="G25" s="39">
        <v>160</v>
      </c>
      <c r="H25" s="42">
        <v>9.43</v>
      </c>
      <c r="I25" s="42">
        <v>1.0489999999999999</v>
      </c>
      <c r="J25" t="s">
        <v>293</v>
      </c>
      <c r="K25" s="45" t="s">
        <v>252</v>
      </c>
    </row>
    <row r="26" spans="1:11" ht="14.5" thickBot="1">
      <c r="A26" s="40" t="s">
        <v>283</v>
      </c>
      <c r="B26" s="39">
        <v>23</v>
      </c>
      <c r="C26" s="39">
        <v>42</v>
      </c>
      <c r="D26" s="39">
        <v>75</v>
      </c>
      <c r="E26" s="39">
        <v>111</v>
      </c>
      <c r="F26" s="39">
        <v>152</v>
      </c>
      <c r="G26" s="39">
        <v>198</v>
      </c>
      <c r="H26" s="43">
        <v>14.7</v>
      </c>
      <c r="I26" s="43">
        <v>1.38</v>
      </c>
      <c r="J26" t="s">
        <v>294</v>
      </c>
      <c r="K26" s="45" t="s">
        <v>253</v>
      </c>
    </row>
    <row r="27" spans="1:11" ht="14.5" thickBot="1">
      <c r="A27" s="40" t="s">
        <v>284</v>
      </c>
      <c r="B27" s="39">
        <v>27</v>
      </c>
      <c r="C27" s="39">
        <v>48</v>
      </c>
      <c r="D27" s="39">
        <v>85</v>
      </c>
      <c r="E27" s="39">
        <v>126</v>
      </c>
      <c r="F27" s="39">
        <v>173</v>
      </c>
      <c r="G27" s="39">
        <v>224</v>
      </c>
      <c r="H27" s="43">
        <v>21.2</v>
      </c>
      <c r="I27" s="43">
        <v>1.61</v>
      </c>
      <c r="J27" t="s">
        <v>295</v>
      </c>
      <c r="K27" s="45" t="s">
        <v>254</v>
      </c>
    </row>
    <row r="28" spans="1:11" ht="14.5" thickBot="1">
      <c r="A28" s="40">
        <v>2</v>
      </c>
      <c r="B28" s="39">
        <v>33</v>
      </c>
      <c r="C28" s="39">
        <v>59</v>
      </c>
      <c r="D28" s="39">
        <v>104</v>
      </c>
      <c r="E28" s="39">
        <v>154</v>
      </c>
      <c r="F28" s="39">
        <v>212</v>
      </c>
      <c r="G28" s="39">
        <v>275</v>
      </c>
      <c r="H28" s="43">
        <v>37.700000000000003</v>
      </c>
      <c r="I28" s="43">
        <v>2.0670000000000002</v>
      </c>
      <c r="J28" t="s">
        <v>296</v>
      </c>
      <c r="K28" s="45" t="s">
        <v>44</v>
      </c>
    </row>
    <row r="29" spans="1:11" ht="14.5" thickBot="1">
      <c r="A29" s="40" t="s">
        <v>285</v>
      </c>
      <c r="B29" s="39">
        <v>39</v>
      </c>
      <c r="C29" s="39">
        <v>70</v>
      </c>
      <c r="D29" s="39">
        <v>123</v>
      </c>
      <c r="E29" s="39">
        <v>184</v>
      </c>
      <c r="F29" s="39">
        <v>252</v>
      </c>
      <c r="G29" s="39">
        <v>327</v>
      </c>
      <c r="H29" s="43">
        <v>58.9</v>
      </c>
      <c r="I29" s="43">
        <v>2.4689999999999999</v>
      </c>
      <c r="J29" t="s">
        <v>297</v>
      </c>
      <c r="K29" s="45" t="s">
        <v>255</v>
      </c>
    </row>
    <row r="30" spans="1:11" ht="14.5" thickBot="1">
      <c r="A30" s="40">
        <v>3</v>
      </c>
      <c r="B30" s="39">
        <v>46</v>
      </c>
      <c r="C30" s="39">
        <v>84</v>
      </c>
      <c r="D30" s="39">
        <v>148</v>
      </c>
      <c r="E30" s="39">
        <v>221</v>
      </c>
      <c r="F30" s="39">
        <v>303</v>
      </c>
      <c r="G30" s="39">
        <v>393</v>
      </c>
      <c r="H30" s="43">
        <v>84.8</v>
      </c>
      <c r="I30" s="43">
        <v>3.0680000000000001</v>
      </c>
      <c r="J30" t="s">
        <v>298</v>
      </c>
      <c r="K30" s="45" t="s">
        <v>266</v>
      </c>
    </row>
    <row r="31" spans="1:11" ht="14.5" thickBot="1">
      <c r="A31" s="40" t="s">
        <v>286</v>
      </c>
      <c r="B31" s="39">
        <v>52</v>
      </c>
      <c r="C31" s="39">
        <v>95</v>
      </c>
      <c r="D31" s="39">
        <v>168</v>
      </c>
      <c r="E31" s="39">
        <v>250</v>
      </c>
      <c r="F31" s="39">
        <v>342</v>
      </c>
      <c r="G31" s="39">
        <v>444</v>
      </c>
      <c r="H31">
        <f>AVERAGE(H30,H32)</f>
        <v>117.80000000000001</v>
      </c>
      <c r="I31" s="43">
        <v>3.548</v>
      </c>
      <c r="J31" t="s">
        <v>299</v>
      </c>
      <c r="K31" s="45" t="s">
        <v>267</v>
      </c>
    </row>
    <row r="32" spans="1:11" ht="14.5" thickBot="1">
      <c r="A32" s="40">
        <v>4</v>
      </c>
      <c r="B32" s="39">
        <v>59</v>
      </c>
      <c r="C32" s="39">
        <v>106</v>
      </c>
      <c r="D32" s="39">
        <v>187</v>
      </c>
      <c r="E32" s="39">
        <v>278</v>
      </c>
      <c r="F32" s="39">
        <v>381</v>
      </c>
      <c r="G32" s="39">
        <v>496</v>
      </c>
      <c r="H32" s="43">
        <v>150.80000000000001</v>
      </c>
      <c r="I32" s="43">
        <v>4.0259999999999998</v>
      </c>
      <c r="J32" t="s">
        <v>300</v>
      </c>
    </row>
    <row r="33" spans="1:10" ht="14.5" thickBot="1">
      <c r="A33" s="40">
        <v>5</v>
      </c>
      <c r="B33" s="39">
        <v>71</v>
      </c>
      <c r="C33" s="39">
        <v>129</v>
      </c>
      <c r="D33" s="39">
        <v>227</v>
      </c>
      <c r="E33" s="39">
        <v>339</v>
      </c>
      <c r="F33" s="39">
        <v>464</v>
      </c>
      <c r="G33" s="39">
        <v>603</v>
      </c>
      <c r="H33" s="43">
        <v>235.6</v>
      </c>
      <c r="I33" s="43">
        <v>5.0469999999999997</v>
      </c>
      <c r="J33" t="s">
        <v>301</v>
      </c>
    </row>
    <row r="34" spans="1:10" ht="14.5" thickBot="1">
      <c r="A34" s="40">
        <v>6</v>
      </c>
      <c r="B34" s="39">
        <v>84</v>
      </c>
      <c r="C34" s="39">
        <v>151</v>
      </c>
      <c r="D34" s="39">
        <v>267</v>
      </c>
      <c r="E34" s="39">
        <v>398</v>
      </c>
      <c r="F34" s="39">
        <v>546</v>
      </c>
      <c r="G34" s="39">
        <v>709</v>
      </c>
      <c r="H34" s="43">
        <v>339.3</v>
      </c>
      <c r="I34" s="43">
        <v>6.0650000000000004</v>
      </c>
      <c r="J34" t="s">
        <v>302</v>
      </c>
    </row>
    <row r="35" spans="1:10" ht="14.5" thickBot="1">
      <c r="A35" s="40">
        <v>8</v>
      </c>
      <c r="B35" s="39">
        <v>107</v>
      </c>
      <c r="C35" s="39">
        <v>194</v>
      </c>
      <c r="D35" s="39">
        <v>341</v>
      </c>
      <c r="E35" s="39">
        <v>509</v>
      </c>
      <c r="F35" s="39">
        <v>697</v>
      </c>
      <c r="G35" s="39">
        <v>906</v>
      </c>
    </row>
    <row r="36" spans="1:10" ht="14.5" thickBot="1">
      <c r="A36" s="40">
        <v>10</v>
      </c>
      <c r="B36" s="39">
        <v>132</v>
      </c>
      <c r="C36" s="39">
        <v>238</v>
      </c>
      <c r="D36" s="39">
        <v>420</v>
      </c>
      <c r="E36" s="39">
        <v>626</v>
      </c>
      <c r="F36" s="39">
        <v>857</v>
      </c>
      <c r="G36" s="39">
        <v>1114</v>
      </c>
    </row>
    <row r="37" spans="1:10" ht="14.5" thickBot="1">
      <c r="A37" s="40">
        <v>12</v>
      </c>
      <c r="B37" s="39">
        <v>154</v>
      </c>
      <c r="C37" s="39">
        <v>279</v>
      </c>
      <c r="D37" s="39">
        <v>491</v>
      </c>
      <c r="E37" s="39">
        <v>732</v>
      </c>
      <c r="F37" s="39">
        <v>1003</v>
      </c>
      <c r="G37" s="39">
        <v>1305</v>
      </c>
    </row>
    <row r="38" spans="1:10" ht="14.5" thickBot="1">
      <c r="A38" s="40">
        <v>14</v>
      </c>
      <c r="B38" s="39">
        <v>181</v>
      </c>
      <c r="C38" s="39">
        <v>326</v>
      </c>
      <c r="D38" s="39">
        <v>575</v>
      </c>
      <c r="E38" s="39">
        <v>856</v>
      </c>
      <c r="F38" s="39">
        <v>1173</v>
      </c>
      <c r="G38" s="39">
        <v>1527</v>
      </c>
    </row>
    <row r="39" spans="1:10" ht="14.5" thickBot="1">
      <c r="A39" s="40">
        <v>16</v>
      </c>
      <c r="B39" s="39">
        <v>203</v>
      </c>
      <c r="C39" s="39">
        <v>366</v>
      </c>
      <c r="D39" s="39">
        <v>644</v>
      </c>
      <c r="E39" s="39">
        <v>960</v>
      </c>
      <c r="F39" s="39">
        <v>1314</v>
      </c>
      <c r="G39" s="39">
        <v>1711</v>
      </c>
    </row>
    <row r="40" spans="1:10" ht="14.5" thickBot="1">
      <c r="A40" s="40">
        <v>18</v>
      </c>
      <c r="B40" s="39">
        <v>214</v>
      </c>
      <c r="C40" s="39">
        <v>385</v>
      </c>
      <c r="D40" s="39">
        <v>678</v>
      </c>
      <c r="E40" s="39">
        <v>1011</v>
      </c>
      <c r="F40" s="39">
        <v>1385</v>
      </c>
      <c r="G40" s="39">
        <v>1802</v>
      </c>
    </row>
    <row r="41" spans="1:10" ht="14.5" thickBot="1">
      <c r="A41" s="38">
        <v>20</v>
      </c>
      <c r="B41" s="39">
        <v>236</v>
      </c>
      <c r="C41" s="39">
        <v>426</v>
      </c>
      <c r="D41" s="39">
        <v>748</v>
      </c>
      <c r="E41" s="39">
        <v>1115</v>
      </c>
      <c r="F41" s="39">
        <v>1529</v>
      </c>
      <c r="G41" s="39">
        <v>1990</v>
      </c>
    </row>
    <row r="45" spans="1:10">
      <c r="A45" t="s">
        <v>304</v>
      </c>
    </row>
  </sheetData>
  <mergeCells count="2">
    <mergeCell ref="D1:F1"/>
    <mergeCell ref="B21:G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RadCompList</vt:lpstr>
      <vt:lpstr>VentList</vt:lpstr>
      <vt:lpstr>Radiators</vt:lpstr>
      <vt:lpstr>REPORT</vt:lpstr>
      <vt:lpstr>Calculations</vt:lpstr>
      <vt:lpstr>SteamProperties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Bageanis</dc:creator>
  <cp:lastModifiedBy>Augustine Bageanis</cp:lastModifiedBy>
  <cp:lastPrinted>2026-07-25T00:53:19Z</cp:lastPrinted>
  <dcterms:created xsi:type="dcterms:W3CDTF">2025-02-04T15:17:18Z</dcterms:created>
  <dcterms:modified xsi:type="dcterms:W3CDTF">2026-07-25T00:58:51Z</dcterms:modified>
</cp:coreProperties>
</file>