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ustomProperty4.bin" ContentType="application/vnd.openxmlformats-officedocument.spreadsheetml.customProperty"/>
  <Override PartName="/xl/customProperty5.bin" ContentType="application/vnd.openxmlformats-officedocument.spreadsheetml.customProperty"/>
  <Override PartName="/xl/drawings/drawing3.xml" ContentType="application/vnd.openxmlformats-officedocument.drawing+xml"/>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drawings/drawing4.xml" ContentType="application/vnd.openxmlformats-officedocument.drawing+xml"/>
  <Override PartName="/xl/customProperty12.bin" ContentType="application/vnd.openxmlformats-officedocument.spreadsheetml.customProperty"/>
  <Override PartName="/xl/customProperty13.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codeName="ThisWorkbook" defaultThemeVersion="124226"/>
  <mc:AlternateContent xmlns:mc="http://schemas.openxmlformats.org/markup-compatibility/2006">
    <mc:Choice Requires="x15">
      <x15ac:absPath xmlns:x15ac="http://schemas.microsoft.com/office/spreadsheetml/2010/11/ac" url="https://hubbellincorporated-my.sharepoint.com/personal/ldesmarais_hubbell_com/Documents/Desktop/Working On/Personal/House/"/>
    </mc:Choice>
  </mc:AlternateContent>
  <xr:revisionPtr revIDLastSave="384" documentId="10_ncr:8000_{8DA4403E-0D4C-44E3-A8CB-DCFC0E9C278F}" xr6:coauthVersionLast="47" xr6:coauthVersionMax="47" xr10:uidLastSave="{D6CE6756-0D0A-444F-A9C9-E257C8710250}"/>
  <workbookProtection workbookPassword="DEC5" lockStructure="1"/>
  <bookViews>
    <workbookView xWindow="28680" yWindow="-120" windowWidth="29040" windowHeight="16440" tabRatio="872" firstSheet="3" activeTab="6" xr2:uid="{00000000-000D-0000-FFFF-FFFF00000000}"/>
  </bookViews>
  <sheets>
    <sheet name="Appliances" sheetId="12" state="hidden" r:id="rId1"/>
    <sheet name="Plants" sheetId="13" state="hidden" r:id="rId2"/>
    <sheet name="Blower" sheetId="18" state="hidden" r:id="rId3"/>
    <sheet name="Home" sheetId="27" r:id="rId4"/>
    <sheet name="Read Me" sheetId="23" r:id="rId5"/>
    <sheet name="Cities" sheetId="30" state="hidden" r:id="rId6"/>
    <sheet name="J1 Form" sheetId="1" r:id="rId7"/>
    <sheet name="Summary" sheetId="29" r:id="rId8"/>
    <sheet name="Glass Sched" sheetId="24" r:id="rId9"/>
    <sheet name="Doors" sheetId="6" r:id="rId10"/>
    <sheet name="Glass" sheetId="22" r:id="rId11"/>
    <sheet name="Walls" sheetId="8" r:id="rId12"/>
    <sheet name="Ceilings" sheetId="16" r:id="rId13"/>
    <sheet name="Floors" sheetId="17" r:id="rId14"/>
    <sheet name="Help" sheetId="25" r:id="rId15"/>
    <sheet name="What to do next" sheetId="26" r:id="rId16"/>
    <sheet name="Notes" sheetId="28" r:id="rId17"/>
    <sheet name="Infil" sheetId="19" state="hidden" r:id="rId18"/>
    <sheet name="Ducts" sheetId="20" state="hidden" r:id="rId19"/>
    <sheet name="Group" sheetId="10" state="hidden" r:id="rId20"/>
    <sheet name="Calc" sheetId="9" state="hidden" r:id="rId21"/>
  </sheets>
  <definedNames>
    <definedName name="_16B_19ad__FHA_Vented_Attic__R_19__Asphalt_Shingles__Dark">Ceilings!$B$5:$B$10</definedName>
    <definedName name="_Regression_Int" localSheetId="6" hidden="1">1</definedName>
    <definedName name="Appliances">Appliances!$A$1:$A$3</definedName>
    <definedName name="Blower">Blower!$A$1:$A$2</definedName>
    <definedName name="Blower1">Blower!$A$1:$B$2</definedName>
    <definedName name="Ceilings">Ceilings!$B$4:$B$10</definedName>
    <definedName name="Ceilings1">Ceilings!$B$12:$B$15</definedName>
    <definedName name="city">Cities!$M$2:$M$74</definedName>
    <definedName name="Design">#REF!</definedName>
    <definedName name="Design1">#REF!</definedName>
    <definedName name="Doors">Doors!$B$4:$B$10</definedName>
    <definedName name="Ducts">Ducts!$A$2:$A$7</definedName>
    <definedName name="Ducts1">Ducts!$A$10:$A$13</definedName>
    <definedName name="Ducts2">Ducts!$S$10:$S$14</definedName>
    <definedName name="Floors">Floors!$B$4:$B$7</definedName>
    <definedName name="Floors1">Floors!$B$14:$B$17</definedName>
    <definedName name="floors2">Floors!$B$24:$B$27</definedName>
    <definedName name="Floors3">Floors!$B$19:$B$22</definedName>
    <definedName name="Floors4">Floors!$B$9:$B$12</definedName>
    <definedName name="GlassC">Glass!#REF!</definedName>
    <definedName name="GlassH">Glass!$B$5:$B$12</definedName>
    <definedName name="GlassS">Glass!#REF!</definedName>
    <definedName name="GlassSD">Glass!#REF!</definedName>
    <definedName name="GlassSH">Glass!$B$16:$B$20</definedName>
    <definedName name="Infil1">Infil!$A$5:$A$9</definedName>
    <definedName name="Infil2">Infil!$A$11:$A$14</definedName>
    <definedName name="Occupants">#REF!</definedName>
    <definedName name="OH_ADJ">'J1 Form'!#REF!</definedName>
    <definedName name="oh_adj2">#REF!</definedName>
    <definedName name="Plants">Plants!$A$1:$A$3</definedName>
    <definedName name="_xlnm.Print_Area" localSheetId="12">Ceilings!$B$2:$E$49</definedName>
    <definedName name="_xlnm.Print_Area" localSheetId="9">Doors!$B$2:$C$26</definedName>
    <definedName name="_xlnm.Print_Area" localSheetId="13">Floors!$B$2:$G$85</definedName>
    <definedName name="_xlnm.Print_Area" localSheetId="10">Glass!$B$2:$G$66</definedName>
    <definedName name="_xlnm.Print_Area" localSheetId="8">'Glass Sched'!$B$2:$S$34</definedName>
    <definedName name="_xlnm.Print_Area" localSheetId="14">Help!$A$1:$C$99</definedName>
    <definedName name="_xlnm.Print_Area" localSheetId="6" xml:space="preserve">                                                                                                                                'J1 Form'!$B$2:$M$69</definedName>
    <definedName name="_xlnm.Print_Area" localSheetId="4" xml:space="preserve"> 'Read Me'!$B$1:$C$121</definedName>
    <definedName name="_xlnm.Print_Area" localSheetId="7" xml:space="preserve">    Summary!$B$2:$K$45</definedName>
    <definedName name="_xlnm.Print_Area" localSheetId="11" xml:space="preserve"> Walls!$B$2:$E$78</definedName>
    <definedName name="_xlnm.Print_Area" localSheetId="15">'What to do next'!$B$2:$C$16</definedName>
    <definedName name="Print_Area_MI">'J1 Form'!$B$3:$M$69</definedName>
    <definedName name="RH">Cities!$BO$1:$BO$3</definedName>
    <definedName name="state">Cities!$L$1:$L$51</definedName>
    <definedName name="V_GLASS">'J1 Form'!#REF!</definedName>
    <definedName name="vent">Infil!$P$23:$P$26</definedName>
    <definedName name="WallsAG">Walls!$B$4:$B$14</definedName>
    <definedName name="WallsAG1">Walls!$B$5:$B$14</definedName>
    <definedName name="WallsBG">Walls!$B$25:$B$30</definedName>
    <definedName name="WallsBG1">Walls!$B$25:$D$30</definedName>
    <definedName name="WallsPart">Walls!$B$17:$B$22</definedName>
    <definedName name="WKSHT_C">'J1 Form'!$E$126:$M$126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G32" i="1" l="1"/>
  <c r="K32" i="1" s="1"/>
  <c r="AI37" i="1"/>
  <c r="Z29" i="1"/>
  <c r="W29" i="1"/>
  <c r="T29" i="1"/>
  <c r="Q29" i="1"/>
  <c r="N29" i="1"/>
  <c r="AC22" i="1"/>
  <c r="N15" i="1"/>
  <c r="BG15" i="1" s="1"/>
  <c r="K15" i="1" s="1"/>
  <c r="AF13" i="1"/>
  <c r="BG13" i="1" s="1"/>
  <c r="K13" i="1" s="1"/>
  <c r="G13" i="16"/>
  <c r="BJ48" i="1"/>
  <c r="I49" i="1"/>
  <c r="G16" i="17"/>
  <c r="G17" i="17"/>
  <c r="F16" i="17"/>
  <c r="F17" i="17"/>
  <c r="G15" i="17"/>
  <c r="BK48" i="1"/>
  <c r="F15" i="17"/>
  <c r="BJ49" i="1"/>
  <c r="I48" i="1"/>
  <c r="R48" i="1" s="1"/>
  <c r="BH48" i="1" s="1"/>
  <c r="A2" i="30"/>
  <c r="BQ1" i="30"/>
  <c r="M1" i="30"/>
  <c r="M63" i="30" s="1"/>
  <c r="AM1" i="30"/>
  <c r="AZ1" i="30"/>
  <c r="AS1" i="30"/>
  <c r="AV1" i="30"/>
  <c r="AX1" i="30"/>
  <c r="AW1" i="30"/>
  <c r="BL1" i="30"/>
  <c r="BK1" i="30"/>
  <c r="BJ1" i="30"/>
  <c r="BI1" i="30"/>
  <c r="BH1" i="30"/>
  <c r="BG1" i="30"/>
  <c r="BF1" i="30"/>
  <c r="BE1" i="30"/>
  <c r="BD1" i="30"/>
  <c r="BC1" i="30"/>
  <c r="BB1" i="30"/>
  <c r="BA1" i="30"/>
  <c r="AY1" i="30"/>
  <c r="AU1" i="30"/>
  <c r="AT1" i="30"/>
  <c r="AR1" i="30"/>
  <c r="AQ1" i="30"/>
  <c r="AP1" i="30"/>
  <c r="AO1" i="30"/>
  <c r="AN1" i="30"/>
  <c r="AL1" i="30"/>
  <c r="AK1" i="30"/>
  <c r="AJ1" i="30"/>
  <c r="AI1" i="30"/>
  <c r="AH1" i="30"/>
  <c r="AG1" i="30"/>
  <c r="AF1" i="30"/>
  <c r="AE1" i="30"/>
  <c r="AD1" i="30"/>
  <c r="AC1" i="30"/>
  <c r="AB1" i="30"/>
  <c r="AA1" i="30"/>
  <c r="Z1" i="30"/>
  <c r="Y1" i="30"/>
  <c r="X1" i="30"/>
  <c r="W1" i="30"/>
  <c r="V1" i="30"/>
  <c r="U1" i="30"/>
  <c r="T1" i="30"/>
  <c r="S1" i="30"/>
  <c r="R1" i="30"/>
  <c r="Q1" i="30"/>
  <c r="P1" i="30"/>
  <c r="O1" i="30"/>
  <c r="N1" i="30"/>
  <c r="BJ53" i="1"/>
  <c r="P53" i="1"/>
  <c r="H11" i="24"/>
  <c r="J17" i="1" s="1"/>
  <c r="H12" i="24"/>
  <c r="J18" i="1" s="1"/>
  <c r="AB18" i="1" s="1"/>
  <c r="H13" i="24"/>
  <c r="J19" i="1" s="1"/>
  <c r="H14" i="24"/>
  <c r="J20" i="1" s="1"/>
  <c r="H15" i="24"/>
  <c r="J21" i="1" s="1"/>
  <c r="BG38" i="1"/>
  <c r="K38" i="1" s="1"/>
  <c r="BG39" i="1"/>
  <c r="K39" i="1" s="1"/>
  <c r="BG40" i="1"/>
  <c r="K40" i="1" s="1"/>
  <c r="BG41" i="1"/>
  <c r="K41" i="1" s="1"/>
  <c r="B32" i="29" s="1"/>
  <c r="I42" i="1"/>
  <c r="AP42" i="1" s="1"/>
  <c r="BG42" i="1"/>
  <c r="K42" i="1"/>
  <c r="I34" i="1"/>
  <c r="BG34" i="1"/>
  <c r="K34" i="1" s="1"/>
  <c r="B29" i="29" s="1"/>
  <c r="I35" i="1"/>
  <c r="BG35" i="1"/>
  <c r="K35" i="1"/>
  <c r="J45" i="1"/>
  <c r="AN45" i="1" s="1"/>
  <c r="BG45" i="1"/>
  <c r="K45" i="1" s="1"/>
  <c r="BG10" i="1"/>
  <c r="K10" i="1" s="1"/>
  <c r="BG11" i="1"/>
  <c r="K11" i="1" s="1"/>
  <c r="BG12" i="1"/>
  <c r="K12" i="1" s="1"/>
  <c r="BG14" i="1"/>
  <c r="K14" i="1" s="1"/>
  <c r="BG16" i="1"/>
  <c r="K16" i="1" s="1"/>
  <c r="BG17" i="1"/>
  <c r="K17" i="1" s="1"/>
  <c r="BG18" i="1"/>
  <c r="K18" i="1" s="1"/>
  <c r="BG19" i="1"/>
  <c r="K19" i="1" s="1"/>
  <c r="BG20" i="1"/>
  <c r="K20" i="1"/>
  <c r="BG21" i="1"/>
  <c r="K21" i="1"/>
  <c r="F19" i="24"/>
  <c r="J22" i="1" s="1"/>
  <c r="AZ22" i="1" s="1"/>
  <c r="BG22" i="1"/>
  <c r="K22" i="1" s="1"/>
  <c r="F20" i="24"/>
  <c r="J23" i="1" s="1"/>
  <c r="BF23" i="1" s="1"/>
  <c r="BG23" i="1"/>
  <c r="K23" i="1" s="1"/>
  <c r="F21" i="24"/>
  <c r="J24" i="1" s="1"/>
  <c r="BG24" i="1"/>
  <c r="K24" i="1"/>
  <c r="F22" i="24"/>
  <c r="J25" i="1" s="1"/>
  <c r="BG25" i="1"/>
  <c r="K25" i="1" s="1"/>
  <c r="BG26" i="1"/>
  <c r="K26" i="1" s="1"/>
  <c r="J27" i="1"/>
  <c r="BG27" i="1"/>
  <c r="K27" i="1"/>
  <c r="J28" i="1"/>
  <c r="BC28" i="1" s="1"/>
  <c r="BG28" i="1"/>
  <c r="K28" i="1" s="1"/>
  <c r="BG30" i="1"/>
  <c r="K30" i="1" s="1"/>
  <c r="BG31" i="1"/>
  <c r="K31" i="1" s="1"/>
  <c r="J33" i="1"/>
  <c r="AE33" i="1" s="1"/>
  <c r="BG33" i="1"/>
  <c r="K33" i="1" s="1"/>
  <c r="J34" i="1"/>
  <c r="J35" i="1"/>
  <c r="M35" i="1"/>
  <c r="J41" i="1"/>
  <c r="S41" i="1" s="1"/>
  <c r="J42" i="1"/>
  <c r="BF42" i="1" s="1"/>
  <c r="J43" i="1"/>
  <c r="S43" i="1" s="1"/>
  <c r="BG43" i="1"/>
  <c r="K43" i="1"/>
  <c r="J44" i="1"/>
  <c r="V44" i="1" s="1"/>
  <c r="BG44" i="1"/>
  <c r="K44" i="1" s="1"/>
  <c r="BG48" i="1"/>
  <c r="K48" i="1" s="1"/>
  <c r="J49" i="1"/>
  <c r="P49" i="1"/>
  <c r="BG49" i="1"/>
  <c r="K49" i="1" s="1"/>
  <c r="M49" i="1" s="1"/>
  <c r="D1" i="19"/>
  <c r="V11" i="19" s="1"/>
  <c r="P3" i="19"/>
  <c r="D2" i="19" s="1"/>
  <c r="P4" i="19"/>
  <c r="Q4" i="19" s="1"/>
  <c r="Y6" i="19" s="1"/>
  <c r="AT54" i="1"/>
  <c r="AZ54" i="1"/>
  <c r="BC54" i="1"/>
  <c r="BF54" i="1"/>
  <c r="C1" i="12"/>
  <c r="BJ54" i="1" s="1"/>
  <c r="BK54" i="1" s="1"/>
  <c r="AM2" i="20"/>
  <c r="AM3" i="20" s="1"/>
  <c r="AS27" i="20" s="1"/>
  <c r="AS43" i="20" s="1"/>
  <c r="D8" i="20"/>
  <c r="AT36" i="20" s="1"/>
  <c r="D14" i="20"/>
  <c r="H5" i="20" s="1"/>
  <c r="J7" i="20"/>
  <c r="AM17" i="20"/>
  <c r="K7" i="20"/>
  <c r="AM20" i="20"/>
  <c r="I45" i="1"/>
  <c r="E4" i="24"/>
  <c r="I10" i="1" s="1"/>
  <c r="E5" i="24"/>
  <c r="I11" i="1" s="1"/>
  <c r="E6" i="24"/>
  <c r="AC6" i="24" s="1"/>
  <c r="E7" i="24"/>
  <c r="I13" i="1" s="1"/>
  <c r="E8" i="24"/>
  <c r="I14" i="1" s="1"/>
  <c r="E9" i="24"/>
  <c r="AC9" i="24" s="1"/>
  <c r="E10" i="24"/>
  <c r="I16" i="1" s="1"/>
  <c r="E11" i="24"/>
  <c r="I17" i="1" s="1"/>
  <c r="AG17" i="1" s="1"/>
  <c r="E12" i="24"/>
  <c r="AC12" i="24" s="1"/>
  <c r="E13" i="24"/>
  <c r="AC13" i="24" s="1"/>
  <c r="E14" i="24"/>
  <c r="AC14" i="24" s="1"/>
  <c r="E15" i="24"/>
  <c r="AC15" i="24" s="1"/>
  <c r="E19" i="24"/>
  <c r="I22" i="1" s="1"/>
  <c r="X22" i="1" s="1"/>
  <c r="E20" i="24"/>
  <c r="I23" i="1" s="1"/>
  <c r="E21" i="24"/>
  <c r="I24" i="1" s="1"/>
  <c r="AJ24" i="1" s="1"/>
  <c r="E22" i="24"/>
  <c r="I25" i="1" s="1"/>
  <c r="BE25" i="1" s="1"/>
  <c r="I27" i="1"/>
  <c r="AY27" i="1" s="1"/>
  <c r="I28" i="1"/>
  <c r="AY28" i="1" s="1"/>
  <c r="I33" i="1"/>
  <c r="R33" i="1" s="1"/>
  <c r="BG36" i="1"/>
  <c r="K36" i="1" s="1"/>
  <c r="BG37" i="1"/>
  <c r="K37" i="1" s="1"/>
  <c r="I43" i="1"/>
  <c r="O43" i="1" s="1"/>
  <c r="I44" i="1"/>
  <c r="AJ44" i="1" s="1"/>
  <c r="I46" i="1"/>
  <c r="BG46" i="1"/>
  <c r="K46" i="1" s="1"/>
  <c r="BG47" i="1"/>
  <c r="K47" i="1" s="1"/>
  <c r="B36" i="29" s="1"/>
  <c r="O49" i="1"/>
  <c r="T4" i="19"/>
  <c r="K53" i="1"/>
  <c r="S4" i="19" s="1"/>
  <c r="X7" i="19" s="1"/>
  <c r="U5" i="19"/>
  <c r="U6" i="19"/>
  <c r="U4" i="19"/>
  <c r="X8" i="19" s="1"/>
  <c r="K59" i="1"/>
  <c r="H14" i="22"/>
  <c r="G14" i="22"/>
  <c r="F14" i="22"/>
  <c r="E14" i="22"/>
  <c r="D14" i="22"/>
  <c r="I6" i="20"/>
  <c r="BN30" i="1"/>
  <c r="BN31" i="1"/>
  <c r="BN32" i="1"/>
  <c r="BN33" i="1"/>
  <c r="H9" i="8"/>
  <c r="I9" i="8" s="1"/>
  <c r="H10" i="8"/>
  <c r="I10" i="8"/>
  <c r="H11" i="8"/>
  <c r="I11" i="8"/>
  <c r="H12" i="8"/>
  <c r="I12" i="8"/>
  <c r="H13" i="8"/>
  <c r="I13" i="8"/>
  <c r="H14" i="8"/>
  <c r="I14" i="8"/>
  <c r="AS21" i="20"/>
  <c r="AU11" i="20"/>
  <c r="AQ11" i="20"/>
  <c r="I7" i="20"/>
  <c r="BJ29" i="1"/>
  <c r="BN29" i="1"/>
  <c r="BJ30" i="1"/>
  <c r="I30" i="1" s="1"/>
  <c r="BJ31" i="1"/>
  <c r="I31" i="1" s="1"/>
  <c r="AY31" i="1" s="1"/>
  <c r="BJ32" i="1"/>
  <c r="I32" i="1" s="1"/>
  <c r="AY32" i="1" s="1"/>
  <c r="BJ33" i="1"/>
  <c r="S53" i="1"/>
  <c r="V53" i="1"/>
  <c r="Y53" i="1"/>
  <c r="AB53" i="1"/>
  <c r="AE53" i="1"/>
  <c r="AH53" i="1"/>
  <c r="AK53" i="1"/>
  <c r="AN53" i="1"/>
  <c r="AQ53" i="1"/>
  <c r="AT53" i="1"/>
  <c r="AW53" i="1"/>
  <c r="AZ53" i="1"/>
  <c r="BC53" i="1"/>
  <c r="BF53" i="1"/>
  <c r="M60" i="1"/>
  <c r="P4" i="29"/>
  <c r="R34" i="1"/>
  <c r="R35" i="1"/>
  <c r="G4" i="20"/>
  <c r="J5" i="20"/>
  <c r="J4" i="20"/>
  <c r="J6" i="20"/>
  <c r="K5" i="20"/>
  <c r="K4" i="20"/>
  <c r="K6" i="20"/>
  <c r="O34" i="1"/>
  <c r="O35" i="1"/>
  <c r="U34" i="1"/>
  <c r="U35" i="1"/>
  <c r="X34" i="1"/>
  <c r="X35" i="1"/>
  <c r="AA34" i="1"/>
  <c r="AA35" i="1"/>
  <c r="AD34" i="1"/>
  <c r="AD35" i="1"/>
  <c r="AG34" i="1"/>
  <c r="AG35" i="1"/>
  <c r="AJ34" i="1"/>
  <c r="AJ35" i="1"/>
  <c r="AM34" i="1"/>
  <c r="AM35" i="1"/>
  <c r="AP34" i="1"/>
  <c r="AP35" i="1"/>
  <c r="AS34" i="1"/>
  <c r="AS35" i="1"/>
  <c r="AV34" i="1"/>
  <c r="AV35" i="1"/>
  <c r="AY34" i="1"/>
  <c r="AY35" i="1"/>
  <c r="BB34" i="1"/>
  <c r="BB35" i="1"/>
  <c r="BE34" i="1"/>
  <c r="BE35" i="1"/>
  <c r="P35" i="1"/>
  <c r="S35" i="1"/>
  <c r="V35" i="1"/>
  <c r="Y35" i="1"/>
  <c r="AB34" i="1"/>
  <c r="AB35" i="1"/>
  <c r="AE35" i="1"/>
  <c r="AH35" i="1"/>
  <c r="AK35" i="1"/>
  <c r="AN34" i="1"/>
  <c r="AN35" i="1"/>
  <c r="AQ35" i="1"/>
  <c r="AT35" i="1"/>
  <c r="AW35" i="1"/>
  <c r="AW49" i="1"/>
  <c r="AZ34" i="1"/>
  <c r="AZ35" i="1"/>
  <c r="BC35" i="1"/>
  <c r="BF35" i="1"/>
  <c r="BK45" i="1"/>
  <c r="BJ45" i="1"/>
  <c r="F14" i="16"/>
  <c r="G14" i="16"/>
  <c r="F15" i="16"/>
  <c r="G15" i="16"/>
  <c r="BK44" i="1"/>
  <c r="BJ44" i="1"/>
  <c r="BJ38" i="1"/>
  <c r="I38" i="1" s="1"/>
  <c r="BK38" i="1"/>
  <c r="BJ39" i="1"/>
  <c r="I39" i="1" s="1"/>
  <c r="AG39" i="1" s="1"/>
  <c r="BK39" i="1"/>
  <c r="BJ40" i="1"/>
  <c r="I40" i="1" s="1"/>
  <c r="AM40" i="1" s="1"/>
  <c r="BK40" i="1"/>
  <c r="BK43" i="1"/>
  <c r="G4" i="24"/>
  <c r="F4" i="24"/>
  <c r="Z4" i="24"/>
  <c r="G5" i="24"/>
  <c r="F5" i="24"/>
  <c r="G6" i="24"/>
  <c r="F6" i="24"/>
  <c r="Z6" i="24"/>
  <c r="BJ26" i="1"/>
  <c r="J26" i="1" s="1"/>
  <c r="BJ27" i="1"/>
  <c r="H7" i="8"/>
  <c r="F7" i="8" s="1"/>
  <c r="H5" i="8"/>
  <c r="F5" i="8" s="1"/>
  <c r="BL29" i="1" s="1"/>
  <c r="G7" i="24"/>
  <c r="F7" i="24"/>
  <c r="G8" i="24"/>
  <c r="F8" i="24"/>
  <c r="Z8" i="24"/>
  <c r="G9" i="24"/>
  <c r="F9" i="24"/>
  <c r="G10" i="24"/>
  <c r="F10" i="24"/>
  <c r="Z10" i="24"/>
  <c r="G11" i="24"/>
  <c r="F11" i="24"/>
  <c r="G12" i="24"/>
  <c r="F12" i="24"/>
  <c r="Z12" i="24"/>
  <c r="G13" i="24"/>
  <c r="F13" i="24"/>
  <c r="G14" i="24"/>
  <c r="F14" i="24"/>
  <c r="Z14" i="24"/>
  <c r="G15" i="24"/>
  <c r="F15" i="24"/>
  <c r="BJ28" i="1"/>
  <c r="H6" i="8"/>
  <c r="F6" i="8"/>
  <c r="H8" i="8"/>
  <c r="I8" i="8" s="1"/>
  <c r="F8" i="8"/>
  <c r="B21" i="29"/>
  <c r="B20" i="29"/>
  <c r="F18" i="8"/>
  <c r="BJ35" i="1"/>
  <c r="F22" i="8"/>
  <c r="BJ34" i="1"/>
  <c r="F19" i="8"/>
  <c r="F21" i="8"/>
  <c r="BJ36" i="1"/>
  <c r="I36" i="1" s="1"/>
  <c r="AA36" i="1" s="1"/>
  <c r="BJ37" i="1"/>
  <c r="I37" i="1" s="1"/>
  <c r="BB37" i="1" s="1"/>
  <c r="BJ43" i="1"/>
  <c r="H42" i="29"/>
  <c r="C4" i="29"/>
  <c r="BB42" i="20"/>
  <c r="I5" i="20"/>
  <c r="I4" i="20"/>
  <c r="M64" i="1"/>
  <c r="B19" i="29"/>
  <c r="B18" i="29"/>
  <c r="B17" i="29"/>
  <c r="B16" i="29"/>
  <c r="B15" i="29"/>
  <c r="B14" i="29"/>
  <c r="B13" i="29"/>
  <c r="B12" i="29"/>
  <c r="B11" i="29"/>
  <c r="B10" i="29"/>
  <c r="B9" i="29"/>
  <c r="B8" i="29"/>
  <c r="B7" i="29"/>
  <c r="G3" i="9"/>
  <c r="G4" i="9"/>
  <c r="G5" i="9" s="1"/>
  <c r="G6" i="9" s="1"/>
  <c r="G7" i="9" s="1"/>
  <c r="G8" i="9" s="1"/>
  <c r="G9" i="9" s="1"/>
  <c r="G10" i="9" s="1"/>
  <c r="G11" i="9" s="1"/>
  <c r="G12" i="9" s="1"/>
  <c r="G13" i="9" s="1"/>
  <c r="G14" i="9" s="1"/>
  <c r="G15" i="9" s="1"/>
  <c r="G16" i="9" s="1"/>
  <c r="G17" i="9" s="1"/>
  <c r="G18" i="9" s="1"/>
  <c r="G19" i="9" s="1"/>
  <c r="G20" i="9" s="1"/>
  <c r="G21" i="9" s="1"/>
  <c r="G22" i="9" s="1"/>
  <c r="G23" i="9" s="1"/>
  <c r="G24" i="9" s="1"/>
  <c r="G25" i="9" s="1"/>
  <c r="G26" i="9" s="1"/>
  <c r="G27" i="9" s="1"/>
  <c r="G28" i="9" s="1"/>
  <c r="G29" i="9" s="1"/>
  <c r="G30" i="9" s="1"/>
  <c r="G31" i="9" s="1"/>
  <c r="G32" i="9" s="1"/>
  <c r="G33" i="9" s="1"/>
  <c r="G34" i="9" s="1"/>
  <c r="G35" i="9" s="1"/>
  <c r="G36" i="9" s="1"/>
  <c r="G37" i="9" s="1"/>
  <c r="G38" i="9" s="1"/>
  <c r="G39" i="9" s="1"/>
  <c r="G40" i="9" s="1"/>
  <c r="G41" i="9" s="1"/>
  <c r="G42" i="9" s="1"/>
  <c r="G43" i="9" s="1"/>
  <c r="G44" i="9" s="1"/>
  <c r="G45" i="9" s="1"/>
  <c r="G46" i="9" s="1"/>
  <c r="G47" i="9" s="1"/>
  <c r="G48" i="9" s="1"/>
  <c r="G49" i="9" s="1"/>
  <c r="F13" i="16"/>
  <c r="I41" i="1" s="1"/>
  <c r="E32" i="16"/>
  <c r="D32" i="16"/>
  <c r="J3" i="20"/>
  <c r="K3" i="20"/>
  <c r="I3" i="20"/>
  <c r="AP3" i="20"/>
  <c r="AP17" i="20" s="1"/>
  <c r="AP31" i="20" s="1"/>
  <c r="AP46" i="20" s="1"/>
  <c r="BB54" i="20"/>
  <c r="AH4" i="20"/>
  <c r="AH11" i="20"/>
  <c r="AH7" i="20"/>
  <c r="E49" i="17"/>
  <c r="D49" i="17"/>
  <c r="G5" i="17"/>
  <c r="F5" i="17"/>
  <c r="G6" i="17"/>
  <c r="F6" i="17"/>
  <c r="G7" i="17"/>
  <c r="F7" i="17"/>
  <c r="I10" i="22"/>
  <c r="I9" i="22"/>
  <c r="I8" i="22"/>
  <c r="I7" i="22"/>
  <c r="I6" i="22"/>
  <c r="Y5" i="24"/>
  <c r="Y6" i="24"/>
  <c r="Y7" i="24"/>
  <c r="Y8" i="24"/>
  <c r="Y9" i="24"/>
  <c r="Y10" i="24"/>
  <c r="Y11" i="24"/>
  <c r="Y12" i="24"/>
  <c r="Y13" i="24"/>
  <c r="Y14" i="24"/>
  <c r="Y15" i="24"/>
  <c r="Y4" i="24"/>
  <c r="Z15" i="24"/>
  <c r="Z9" i="24"/>
  <c r="Z7" i="24"/>
  <c r="Z5" i="24"/>
  <c r="Z13" i="24"/>
  <c r="Z11" i="24"/>
  <c r="B66" i="25"/>
  <c r="B67" i="25" s="1"/>
  <c r="B68" i="25" s="1"/>
  <c r="B69" i="25" s="1"/>
  <c r="B70" i="25" s="1"/>
  <c r="B71" i="25" s="1"/>
  <c r="B72" i="25" s="1"/>
  <c r="B76" i="25" s="1"/>
  <c r="B81" i="25" s="1"/>
  <c r="B82" i="25" s="1"/>
  <c r="B83" i="25" s="1"/>
  <c r="B84" i="25" s="1"/>
  <c r="A67" i="25"/>
  <c r="A68" i="25" s="1"/>
  <c r="A69" i="25" s="1"/>
  <c r="A70" i="25" s="1"/>
  <c r="A71" i="25" s="1"/>
  <c r="A72" i="25"/>
  <c r="A76" i="25" s="1"/>
  <c r="A81" i="25" s="1"/>
  <c r="A82" i="25" s="1"/>
  <c r="A83" i="25" s="1"/>
  <c r="A84" i="25" s="1"/>
  <c r="AD6" i="19"/>
  <c r="AD3" i="19"/>
  <c r="AD7" i="19" s="1"/>
  <c r="AD8" i="19" s="1"/>
  <c r="AD9" i="19" s="1"/>
  <c r="AC13" i="19" s="1"/>
  <c r="AD17" i="19" s="1"/>
  <c r="AE3" i="19"/>
  <c r="AH6" i="19"/>
  <c r="C1" i="19"/>
  <c r="C2" i="19"/>
  <c r="S11" i="19"/>
  <c r="C3" i="19"/>
  <c r="D10" i="1"/>
  <c r="F10" i="1"/>
  <c r="D11" i="1"/>
  <c r="F11" i="1"/>
  <c r="D12" i="1"/>
  <c r="F12" i="1"/>
  <c r="D13" i="1"/>
  <c r="F13" i="1"/>
  <c r="D14" i="1"/>
  <c r="F14" i="1"/>
  <c r="D15" i="1"/>
  <c r="F15" i="1"/>
  <c r="D16" i="1"/>
  <c r="F16" i="1"/>
  <c r="D17" i="1"/>
  <c r="F17" i="1"/>
  <c r="D18" i="1"/>
  <c r="F18" i="1"/>
  <c r="D19" i="1"/>
  <c r="F19" i="1"/>
  <c r="D20" i="1"/>
  <c r="F20" i="1"/>
  <c r="D21" i="1"/>
  <c r="F21" i="1"/>
  <c r="D22" i="1"/>
  <c r="F22" i="1"/>
  <c r="D23" i="1"/>
  <c r="F23" i="1"/>
  <c r="D24" i="1"/>
  <c r="F24" i="1"/>
  <c r="D25" i="1"/>
  <c r="F25" i="1"/>
  <c r="BH54" i="1"/>
  <c r="BG54" i="1"/>
  <c r="BG53" i="1"/>
  <c r="BJ41" i="1"/>
  <c r="BK41" i="1"/>
  <c r="BJ42" i="1"/>
  <c r="BK42" i="1"/>
  <c r="BG50" i="1"/>
  <c r="BH51" i="1"/>
  <c r="BI36" i="1"/>
  <c r="BI37" i="1"/>
  <c r="BI46" i="1"/>
  <c r="BI50" i="1"/>
  <c r="I6" i="8"/>
  <c r="G18" i="8"/>
  <c r="F20" i="8"/>
  <c r="G19" i="8"/>
  <c r="G20" i="8"/>
  <c r="G21" i="8"/>
  <c r="G22" i="8"/>
  <c r="D50" i="8"/>
  <c r="H26" i="8"/>
  <c r="F10" i="8"/>
  <c r="F11" i="8"/>
  <c r="F12" i="8"/>
  <c r="F13" i="8"/>
  <c r="F14" i="8"/>
  <c r="H30" i="8"/>
  <c r="H29" i="8"/>
  <c r="H27" i="8"/>
  <c r="AQ20" i="20"/>
  <c r="AQ21" i="20"/>
  <c r="AQ9" i="20"/>
  <c r="AQ50" i="20"/>
  <c r="J48" i="1"/>
  <c r="BC48" i="1" s="1"/>
  <c r="P48" i="1"/>
  <c r="BF48" i="1"/>
  <c r="AE48" i="1"/>
  <c r="AW48" i="1"/>
  <c r="AD48" i="1"/>
  <c r="AG48" i="1"/>
  <c r="AS48" i="1"/>
  <c r="M57" i="30"/>
  <c r="AY48" i="1"/>
  <c r="AM48" i="1"/>
  <c r="O48" i="1"/>
  <c r="U48" i="1"/>
  <c r="BC49" i="1"/>
  <c r="AK49" i="1"/>
  <c r="BI49" i="1" s="1"/>
  <c r="AH49" i="1"/>
  <c r="AE49" i="1"/>
  <c r="AB49" i="1"/>
  <c r="Y49" i="1"/>
  <c r="BF49" i="1"/>
  <c r="AZ49" i="1"/>
  <c r="AT49" i="1"/>
  <c r="AQ49" i="1"/>
  <c r="AN49" i="1"/>
  <c r="V49" i="1"/>
  <c r="S49" i="1"/>
  <c r="BB48" i="1"/>
  <c r="AV48" i="1"/>
  <c r="AP48" i="1"/>
  <c r="AJ48" i="1"/>
  <c r="X48" i="1"/>
  <c r="BE48" i="1"/>
  <c r="AA48" i="1"/>
  <c r="AZ48" i="1"/>
  <c r="AN48" i="1"/>
  <c r="AB48" i="1"/>
  <c r="S48" i="1"/>
  <c r="AQ48" i="1"/>
  <c r="U49" i="1"/>
  <c r="AA49" i="1"/>
  <c r="AG49" i="1"/>
  <c r="AM49" i="1" s="1"/>
  <c r="AS49" i="1" s="1"/>
  <c r="AY49" i="1" s="1"/>
  <c r="BE49" i="1" s="1"/>
  <c r="M15" i="30"/>
  <c r="AG46" i="1"/>
  <c r="AP46" i="1"/>
  <c r="I2" i="30"/>
  <c r="M55" i="30"/>
  <c r="M65" i="30"/>
  <c r="M19" i="30"/>
  <c r="M16" i="30"/>
  <c r="M37" i="30"/>
  <c r="AY46" i="1"/>
  <c r="R46" i="1"/>
  <c r="AJ46" i="1"/>
  <c r="BL30" i="1"/>
  <c r="AB27" i="1"/>
  <c r="BL33" i="1"/>
  <c r="BL32" i="1"/>
  <c r="AM46" i="1"/>
  <c r="BE46" i="1"/>
  <c r="AS46" i="1"/>
  <c r="U46" i="1"/>
  <c r="AY43" i="1"/>
  <c r="M5" i="30"/>
  <c r="M69" i="30"/>
  <c r="M62" i="30"/>
  <c r="M52" i="30"/>
  <c r="M30" i="30"/>
  <c r="M46" i="30"/>
  <c r="M34" i="30"/>
  <c r="M36" i="30"/>
  <c r="M8" i="30"/>
  <c r="BM29" i="1"/>
  <c r="BM32" i="1"/>
  <c r="U45" i="1"/>
  <c r="M43" i="30"/>
  <c r="M40" i="30"/>
  <c r="M25" i="30"/>
  <c r="M31" i="30"/>
  <c r="M28" i="30"/>
  <c r="M66" i="30"/>
  <c r="M47" i="30"/>
  <c r="M9" i="30"/>
  <c r="M73" i="30"/>
  <c r="M11" i="30"/>
  <c r="M12" i="30"/>
  <c r="M71" i="30"/>
  <c r="M39" i="30"/>
  <c r="M7" i="30"/>
  <c r="M17" i="30"/>
  <c r="M49" i="30"/>
  <c r="M56" i="30"/>
  <c r="M58" i="30"/>
  <c r="M27" i="30"/>
  <c r="M20" i="30"/>
  <c r="M67" i="30"/>
  <c r="M35" i="30"/>
  <c r="M3" i="30"/>
  <c r="M70" i="30"/>
  <c r="M10" i="30"/>
  <c r="M72" i="30"/>
  <c r="M32" i="30"/>
  <c r="M64" i="30"/>
  <c r="M61" i="30"/>
  <c r="M45" i="30"/>
  <c r="M29" i="30"/>
  <c r="M13" i="30"/>
  <c r="M14" i="30"/>
  <c r="E2" i="30"/>
  <c r="H5" i="1" s="1"/>
  <c r="K5" i="1" s="1"/>
  <c r="M22" i="30"/>
  <c r="M21" i="30"/>
  <c r="M53" i="30"/>
  <c r="M48" i="30"/>
  <c r="M42" i="30"/>
  <c r="M6" i="30"/>
  <c r="M51" i="30"/>
  <c r="M50" i="30"/>
  <c r="M59" i="30"/>
  <c r="M24" i="30"/>
  <c r="M33" i="30"/>
  <c r="M23" i="30"/>
  <c r="M44" i="30"/>
  <c r="G2" i="30"/>
  <c r="M41" i="30"/>
  <c r="M60" i="30"/>
  <c r="M2" i="30"/>
  <c r="M54" i="30"/>
  <c r="M26" i="30"/>
  <c r="H2" i="30"/>
  <c r="M38" i="30"/>
  <c r="AS45" i="1"/>
  <c r="AV45" i="1"/>
  <c r="AP45" i="1"/>
  <c r="P27" i="1"/>
  <c r="AQ27" i="1"/>
  <c r="AE27" i="1"/>
  <c r="X46" i="1"/>
  <c r="AA46" i="1"/>
  <c r="O46" i="1"/>
  <c r="AV46" i="1"/>
  <c r="AD46" i="1"/>
  <c r="BB46" i="1"/>
  <c r="AV28" i="1"/>
  <c r="AP27" i="1"/>
  <c r="U27" i="1"/>
  <c r="X27" i="1"/>
  <c r="BM33" i="1"/>
  <c r="BM30" i="1"/>
  <c r="BM31" i="1"/>
  <c r="BE45" i="1"/>
  <c r="BB45" i="1"/>
  <c r="S27" i="1"/>
  <c r="AH27" i="1"/>
  <c r="AN27" i="1"/>
  <c r="BH34" i="1"/>
  <c r="AQ22" i="20"/>
  <c r="AQ36" i="20"/>
  <c r="AS49" i="20"/>
  <c r="AS50" i="20"/>
  <c r="AQ49" i="20"/>
  <c r="AT34" i="20"/>
  <c r="AR35" i="20"/>
  <c r="AT35" i="20"/>
  <c r="AS36" i="20"/>
  <c r="AU36" i="20"/>
  <c r="AT37" i="20"/>
  <c r="AR38" i="20"/>
  <c r="AT38" i="20"/>
  <c r="AR39" i="20"/>
  <c r="AT39" i="20"/>
  <c r="AR40" i="20"/>
  <c r="AT40" i="20"/>
  <c r="AQ35" i="20"/>
  <c r="AQ40" i="20"/>
  <c r="AS20" i="20"/>
  <c r="AU20" i="20"/>
  <c r="AT21" i="20"/>
  <c r="AS22" i="20"/>
  <c r="AU22" i="20"/>
  <c r="AS23" i="20"/>
  <c r="AU23" i="20"/>
  <c r="AS24" i="20"/>
  <c r="AU24" i="20"/>
  <c r="AQ24" i="20"/>
  <c r="AT7" i="20"/>
  <c r="AS8" i="20"/>
  <c r="AU8" i="20"/>
  <c r="AT9" i="20"/>
  <c r="AR10" i="20"/>
  <c r="AT10" i="20"/>
  <c r="AR11" i="20"/>
  <c r="AT11" i="20"/>
  <c r="AS6" i="20"/>
  <c r="AR22" i="20"/>
  <c r="AR37" i="20"/>
  <c r="AU50" i="20"/>
  <c r="AU34" i="20"/>
  <c r="AU35" i="20"/>
  <c r="AS37" i="20"/>
  <c r="AS38" i="20"/>
  <c r="AS39" i="20"/>
  <c r="AS40" i="20"/>
  <c r="AQ39" i="20"/>
  <c r="AT20" i="20"/>
  <c r="AU21" i="20"/>
  <c r="AR23" i="20"/>
  <c r="AR24" i="20"/>
  <c r="AQ23" i="20"/>
  <c r="AU7" i="20"/>
  <c r="AS9" i="20"/>
  <c r="AS10" i="20"/>
  <c r="AS11" i="20"/>
  <c r="AT6" i="20"/>
  <c r="AQ10" i="20"/>
  <c r="C11" i="20"/>
  <c r="B13" i="20"/>
  <c r="B10" i="20"/>
  <c r="AR21" i="20"/>
  <c r="O3" i="20"/>
  <c r="AM24" i="20"/>
  <c r="AR7" i="20"/>
  <c r="AR8" i="20"/>
  <c r="B12" i="20"/>
  <c r="B14" i="20" s="1"/>
  <c r="AM7" i="20" s="1"/>
  <c r="AR20" i="20"/>
  <c r="AR6" i="20"/>
  <c r="AQ37" i="20"/>
  <c r="AQ38" i="20"/>
  <c r="AT49" i="20"/>
  <c r="AT50" i="20"/>
  <c r="AR34" i="20"/>
  <c r="AR9" i="20"/>
  <c r="AN42" i="1"/>
  <c r="AQ42" i="1"/>
  <c r="M4" i="30"/>
  <c r="BL31" i="1"/>
  <c r="L49" i="1"/>
  <c r="AR50" i="20"/>
  <c r="N3" i="20"/>
  <c r="AM13" i="20" s="1"/>
  <c r="AQ6" i="20"/>
  <c r="P3" i="20"/>
  <c r="AM23" i="20" s="1"/>
  <c r="AQ7" i="20"/>
  <c r="C12" i="20"/>
  <c r="C14" i="20" s="1"/>
  <c r="AM8" i="20" s="1"/>
  <c r="BK35" i="1"/>
  <c r="BK34" i="1"/>
  <c r="BH35" i="1"/>
  <c r="C10" i="20"/>
  <c r="AU6" i="20"/>
  <c r="AU10" i="20"/>
  <c r="AT8" i="20"/>
  <c r="AT24" i="20"/>
  <c r="AT22" i="20"/>
  <c r="AQ34" i="20"/>
  <c r="AU39" i="20"/>
  <c r="AU37" i="20"/>
  <c r="AS35" i="20"/>
  <c r="AU49" i="20"/>
  <c r="L34" i="1"/>
  <c r="M34" i="1"/>
  <c r="H29" i="29" s="1"/>
  <c r="L35" i="1"/>
  <c r="E29" i="29" s="1"/>
  <c r="M68" i="30"/>
  <c r="BK49" i="1"/>
  <c r="AI3" i="20"/>
  <c r="AU27" i="20" s="1"/>
  <c r="BC19" i="20" s="1"/>
  <c r="W3" i="19"/>
  <c r="R49" i="1"/>
  <c r="X49" i="1"/>
  <c r="AD49" i="1"/>
  <c r="AJ49" i="1"/>
  <c r="AP49" i="1" s="1"/>
  <c r="B30" i="29" l="1"/>
  <c r="AE26" i="1"/>
  <c r="P26" i="1"/>
  <c r="S26" i="1"/>
  <c r="AB26" i="1"/>
  <c r="BC26" i="1"/>
  <c r="AN26" i="1"/>
  <c r="AQ26" i="1"/>
  <c r="Y26" i="1"/>
  <c r="I26" i="1"/>
  <c r="U26" i="1" s="1"/>
  <c r="AM28" i="1"/>
  <c r="O28" i="1"/>
  <c r="AY26" i="1"/>
  <c r="AG28" i="1"/>
  <c r="BE28" i="1"/>
  <c r="BB28" i="1"/>
  <c r="X28" i="1"/>
  <c r="AA28" i="1"/>
  <c r="R28" i="1"/>
  <c r="BB27" i="1"/>
  <c r="AJ28" i="1"/>
  <c r="AH26" i="1"/>
  <c r="V26" i="1"/>
  <c r="AD27" i="1"/>
  <c r="AD28" i="1"/>
  <c r="O27" i="1"/>
  <c r="L27" i="1"/>
  <c r="BE27" i="1"/>
  <c r="AJ27" i="1"/>
  <c r="AV27" i="1"/>
  <c r="AT26" i="1"/>
  <c r="AW26" i="1"/>
  <c r="AS27" i="1"/>
  <c r="AA27" i="1"/>
  <c r="AK26" i="1"/>
  <c r="AM27" i="1"/>
  <c r="AG27" i="1"/>
  <c r="AZ26" i="1"/>
  <c r="M26" i="1"/>
  <c r="R27" i="1"/>
  <c r="BF26" i="1"/>
  <c r="F9" i="8"/>
  <c r="O37" i="1"/>
  <c r="R37" i="1"/>
  <c r="U37" i="1"/>
  <c r="AJ37" i="1"/>
  <c r="AY37" i="1"/>
  <c r="BE37" i="1"/>
  <c r="AP37" i="1"/>
  <c r="AV37" i="1"/>
  <c r="AG37" i="1"/>
  <c r="AD37" i="1"/>
  <c r="AA37" i="1"/>
  <c r="AS37" i="1"/>
  <c r="X37" i="1"/>
  <c r="AM37" i="1"/>
  <c r="AM36" i="1"/>
  <c r="I7" i="8"/>
  <c r="AG43" i="1"/>
  <c r="AK44" i="1"/>
  <c r="AQ44" i="1"/>
  <c r="BF44" i="1"/>
  <c r="L43" i="1"/>
  <c r="R44" i="1"/>
  <c r="AP44" i="1"/>
  <c r="U44" i="1"/>
  <c r="AV44" i="1"/>
  <c r="I5" i="8"/>
  <c r="BG29" i="1"/>
  <c r="K29" i="1" s="1"/>
  <c r="AS14" i="20"/>
  <c r="AX3" i="20" s="1"/>
  <c r="AW3" i="20"/>
  <c r="Q3" i="19"/>
  <c r="J40" i="1"/>
  <c r="AW40" i="1" s="1"/>
  <c r="B31" i="29"/>
  <c r="J39" i="1"/>
  <c r="M39" i="1" s="1"/>
  <c r="X25" i="1"/>
  <c r="Y22" i="1"/>
  <c r="R22" i="1"/>
  <c r="AV22" i="1"/>
  <c r="L22" i="1"/>
  <c r="V22" i="1"/>
  <c r="AD22" i="1"/>
  <c r="AN23" i="1"/>
  <c r="AW23" i="1"/>
  <c r="X24" i="1"/>
  <c r="AZ23" i="1"/>
  <c r="Y24" i="1"/>
  <c r="AE24" i="1"/>
  <c r="BC24" i="1"/>
  <c r="S24" i="1"/>
  <c r="AQ24" i="1"/>
  <c r="V23" i="1"/>
  <c r="AY22" i="1"/>
  <c r="AG25" i="1"/>
  <c r="AK23" i="1"/>
  <c r="BB30" i="1"/>
  <c r="AV30" i="1"/>
  <c r="AT43" i="1"/>
  <c r="AW44" i="1"/>
  <c r="P44" i="1"/>
  <c r="BC44" i="1"/>
  <c r="AN44" i="1"/>
  <c r="AS44" i="1"/>
  <c r="Y44" i="1"/>
  <c r="AY44" i="1"/>
  <c r="AQ43" i="1"/>
  <c r="AE43" i="1"/>
  <c r="S44" i="1"/>
  <c r="AW33" i="1"/>
  <c r="S33" i="1"/>
  <c r="V12" i="19"/>
  <c r="G3" i="20"/>
  <c r="AS7" i="20"/>
  <c r="AR49" i="20"/>
  <c r="G5" i="20"/>
  <c r="AU38" i="20"/>
  <c r="AR36" i="20"/>
  <c r="AS34" i="20"/>
  <c r="H6" i="20"/>
  <c r="M3" i="20" s="1"/>
  <c r="AM12" i="20" s="1"/>
  <c r="AQ8" i="20"/>
  <c r="B11" i="20"/>
  <c r="H3" i="20"/>
  <c r="G7" i="20"/>
  <c r="H4" i="20"/>
  <c r="H7" i="20"/>
  <c r="G6" i="20"/>
  <c r="L3" i="20" s="1"/>
  <c r="AM11" i="20" s="1"/>
  <c r="BI53" i="1"/>
  <c r="M53" i="1" s="1"/>
  <c r="Y42" i="1"/>
  <c r="V42" i="1"/>
  <c r="AT42" i="1"/>
  <c r="AB42" i="1"/>
  <c r="M42" i="1"/>
  <c r="S42" i="1"/>
  <c r="AE42" i="1"/>
  <c r="BB41" i="1"/>
  <c r="AG41" i="1"/>
  <c r="U41" i="1"/>
  <c r="BC42" i="1"/>
  <c r="AW42" i="1"/>
  <c r="AK42" i="1"/>
  <c r="AH42" i="1"/>
  <c r="AZ42" i="1"/>
  <c r="P42" i="1"/>
  <c r="AA41" i="1"/>
  <c r="AM41" i="1"/>
  <c r="L41" i="1"/>
  <c r="AJ39" i="1"/>
  <c r="AJ42" i="1"/>
  <c r="AP41" i="1"/>
  <c r="AD41" i="1"/>
  <c r="O41" i="1"/>
  <c r="R41" i="1"/>
  <c r="R42" i="1"/>
  <c r="AY41" i="1"/>
  <c r="AJ41" i="1"/>
  <c r="X41" i="1"/>
  <c r="O42" i="1"/>
  <c r="AY42" i="1"/>
  <c r="M41" i="1"/>
  <c r="AZ41" i="1"/>
  <c r="AN41" i="1"/>
  <c r="AB41" i="1"/>
  <c r="P41" i="1"/>
  <c r="AV41" i="1"/>
  <c r="AK41" i="1"/>
  <c r="Y41" i="1"/>
  <c r="AW41" i="1"/>
  <c r="BE41" i="1"/>
  <c r="AS41" i="1"/>
  <c r="BF41" i="1"/>
  <c r="AT41" i="1"/>
  <c r="AH41" i="1"/>
  <c r="V41" i="1"/>
  <c r="BC41" i="1"/>
  <c r="AQ41" i="1"/>
  <c r="AE41" i="1"/>
  <c r="I21" i="1"/>
  <c r="BE21" i="1" s="1"/>
  <c r="BI54" i="1"/>
  <c r="M54" i="1" s="1"/>
  <c r="AS30" i="1"/>
  <c r="BK30" i="1"/>
  <c r="J30" i="1" s="1"/>
  <c r="AB30" i="1" s="1"/>
  <c r="X6" i="19"/>
  <c r="AW31" i="20"/>
  <c r="BA31" i="20"/>
  <c r="AY31" i="20"/>
  <c r="AX31" i="20"/>
  <c r="AS53" i="20"/>
  <c r="U38" i="1"/>
  <c r="AS38" i="1"/>
  <c r="AM38" i="1"/>
  <c r="AY38" i="1"/>
  <c r="BB38" i="1"/>
  <c r="AP38" i="1"/>
  <c r="AD38" i="1"/>
  <c r="AV38" i="1"/>
  <c r="X38" i="1"/>
  <c r="R38" i="1"/>
  <c r="BE38" i="1"/>
  <c r="J38" i="1"/>
  <c r="M38" i="1" s="1"/>
  <c r="I29" i="1"/>
  <c r="O29" i="1" s="1"/>
  <c r="BE44" i="1"/>
  <c r="O44" i="1"/>
  <c r="Y43" i="1"/>
  <c r="AG44" i="1"/>
  <c r="X44" i="1"/>
  <c r="BF43" i="1"/>
  <c r="AM44" i="1"/>
  <c r="AD44" i="1"/>
  <c r="L44" i="1"/>
  <c r="AA44" i="1"/>
  <c r="P43" i="1"/>
  <c r="BB44" i="1"/>
  <c r="AB44" i="1"/>
  <c r="AZ44" i="1"/>
  <c r="AH43" i="1"/>
  <c r="V43" i="1"/>
  <c r="AN43" i="1"/>
  <c r="AW43" i="1"/>
  <c r="AB43" i="1"/>
  <c r="AK43" i="1"/>
  <c r="AH44" i="1"/>
  <c r="AZ43" i="1"/>
  <c r="M43" i="1"/>
  <c r="BC43" i="1"/>
  <c r="AE44" i="1"/>
  <c r="AT44" i="1"/>
  <c r="AG40" i="1"/>
  <c r="R40" i="1"/>
  <c r="AJ38" i="1"/>
  <c r="AG38" i="1"/>
  <c r="AY40" i="1"/>
  <c r="U39" i="1"/>
  <c r="AA38" i="1"/>
  <c r="O38" i="1"/>
  <c r="L38" i="1"/>
  <c r="BE40" i="1"/>
  <c r="AJ40" i="1"/>
  <c r="AV40" i="1"/>
  <c r="X40" i="1"/>
  <c r="AD39" i="1"/>
  <c r="AY39" i="1"/>
  <c r="BB39" i="1"/>
  <c r="R39" i="1"/>
  <c r="L40" i="1"/>
  <c r="O40" i="1"/>
  <c r="AS40" i="1"/>
  <c r="AS39" i="1"/>
  <c r="U40" i="1"/>
  <c r="AP40" i="1"/>
  <c r="AM39" i="1"/>
  <c r="AP39" i="1"/>
  <c r="AA39" i="1"/>
  <c r="BB40" i="1"/>
  <c r="X39" i="1"/>
  <c r="BE30" i="1"/>
  <c r="BB32" i="1"/>
  <c r="AV32" i="1"/>
  <c r="BK31" i="1"/>
  <c r="J31" i="1" s="1"/>
  <c r="AN33" i="1"/>
  <c r="BC33" i="1"/>
  <c r="AZ33" i="1"/>
  <c r="U30" i="1"/>
  <c r="AG30" i="1"/>
  <c r="AM30" i="1"/>
  <c r="AQ33" i="1"/>
  <c r="AK33" i="1"/>
  <c r="P33" i="1"/>
  <c r="AM31" i="1"/>
  <c r="AG31" i="1"/>
  <c r="BF33" i="1"/>
  <c r="AY30" i="1"/>
  <c r="U31" i="1"/>
  <c r="BK29" i="1"/>
  <c r="J29" i="1" s="1"/>
  <c r="AJ30" i="1"/>
  <c r="AH33" i="1"/>
  <c r="AP30" i="1"/>
  <c r="AD30" i="1"/>
  <c r="X30" i="1"/>
  <c r="R30" i="1"/>
  <c r="O30" i="1"/>
  <c r="V33" i="1"/>
  <c r="M33" i="1"/>
  <c r="AA30" i="1"/>
  <c r="BK33" i="1"/>
  <c r="I20" i="1"/>
  <c r="AG20" i="1" s="1"/>
  <c r="I18" i="1"/>
  <c r="X18" i="1" s="1"/>
  <c r="V18" i="1"/>
  <c r="AH18" i="1"/>
  <c r="Y18" i="1"/>
  <c r="I15" i="1"/>
  <c r="R15" i="1" s="1"/>
  <c r="AC7" i="24"/>
  <c r="AC11" i="24"/>
  <c r="BF18" i="1"/>
  <c r="BC18" i="1"/>
  <c r="AW18" i="1"/>
  <c r="I12" i="1"/>
  <c r="L12" i="1" s="1"/>
  <c r="BB17" i="1"/>
  <c r="I19" i="1"/>
  <c r="AM19" i="1" s="1"/>
  <c r="AC10" i="24"/>
  <c r="AM11" i="1"/>
  <c r="L11" i="1"/>
  <c r="AJ11" i="1"/>
  <c r="O11" i="1"/>
  <c r="AP11" i="1"/>
  <c r="AV11" i="1"/>
  <c r="AY11" i="1"/>
  <c r="BE11" i="1"/>
  <c r="U11" i="1"/>
  <c r="AD11" i="1"/>
  <c r="AA11" i="1"/>
  <c r="AQ21" i="1"/>
  <c r="P21" i="1"/>
  <c r="AA16" i="1"/>
  <c r="AD16" i="1"/>
  <c r="AG16" i="1"/>
  <c r="U16" i="1"/>
  <c r="R16" i="1"/>
  <c r="AA17" i="1"/>
  <c r="BE17" i="1"/>
  <c r="AC5" i="24"/>
  <c r="BE10" i="1"/>
  <c r="AA10" i="1"/>
  <c r="U10" i="1"/>
  <c r="AY10" i="1"/>
  <c r="AG10" i="1"/>
  <c r="AJ10" i="1"/>
  <c r="L10" i="1"/>
  <c r="AM10" i="1"/>
  <c r="BB10" i="1"/>
  <c r="AV10" i="1"/>
  <c r="AP10" i="1"/>
  <c r="X10" i="1"/>
  <c r="AD10" i="1"/>
  <c r="AS10" i="1"/>
  <c r="O10" i="1"/>
  <c r="R10" i="1"/>
  <c r="AN20" i="1"/>
  <c r="AW20" i="1"/>
  <c r="BC20" i="1"/>
  <c r="AK20" i="1"/>
  <c r="S20" i="1"/>
  <c r="AT20" i="1"/>
  <c r="AB20" i="1"/>
  <c r="P20" i="1"/>
  <c r="AZ20" i="1"/>
  <c r="BF20" i="1"/>
  <c r="AE20" i="1"/>
  <c r="AQ20" i="1"/>
  <c r="AH20" i="1"/>
  <c r="Y20" i="1"/>
  <c r="V20" i="1"/>
  <c r="AD31" i="1"/>
  <c r="AS33" i="1"/>
  <c r="AP28" i="1"/>
  <c r="AP31" i="1"/>
  <c r="L39" i="1"/>
  <c r="BB31" i="1"/>
  <c r="X33" i="1"/>
  <c r="BC45" i="1"/>
  <c r="AV39" i="1"/>
  <c r="BE39" i="1"/>
  <c r="L33" i="1"/>
  <c r="O33" i="1"/>
  <c r="X31" i="1"/>
  <c r="BE33" i="1"/>
  <c r="V45" i="1"/>
  <c r="AS31" i="1"/>
  <c r="O39" i="1"/>
  <c r="AD33" i="1"/>
  <c r="R31" i="1"/>
  <c r="U33" i="1"/>
  <c r="AA31" i="1"/>
  <c r="AY33" i="1"/>
  <c r="BE31" i="1"/>
  <c r="BB33" i="1"/>
  <c r="AT45" i="1"/>
  <c r="AV33" i="1"/>
  <c r="AJ31" i="1"/>
  <c r="AV31" i="1"/>
  <c r="AM33" i="1"/>
  <c r="U28" i="1"/>
  <c r="AS28" i="1"/>
  <c r="O31" i="1"/>
  <c r="AP33" i="1"/>
  <c r="AD40" i="1"/>
  <c r="AC4" i="24"/>
  <c r="L37" i="1"/>
  <c r="L31" i="1"/>
  <c r="AA33" i="1"/>
  <c r="AA40" i="1"/>
  <c r="AG33" i="1"/>
  <c r="AJ33" i="1"/>
  <c r="S19" i="1"/>
  <c r="AH19" i="1"/>
  <c r="AZ19" i="1"/>
  <c r="P19" i="1"/>
  <c r="AK19" i="1"/>
  <c r="BF19" i="1"/>
  <c r="Y19" i="1"/>
  <c r="BB14" i="1"/>
  <c r="AJ14" i="1"/>
  <c r="AD14" i="1"/>
  <c r="AA14" i="1"/>
  <c r="R14" i="1"/>
  <c r="AV14" i="1"/>
  <c r="AS14" i="1"/>
  <c r="AP14" i="1"/>
  <c r="O14" i="1"/>
  <c r="X14" i="1"/>
  <c r="U14" i="1"/>
  <c r="AG14" i="1"/>
  <c r="AY14" i="1"/>
  <c r="BE14" i="1"/>
  <c r="AM14" i="1"/>
  <c r="L14" i="1"/>
  <c r="V17" i="1"/>
  <c r="S17" i="1"/>
  <c r="AT17" i="1"/>
  <c r="BF17" i="1"/>
  <c r="AE17" i="1"/>
  <c r="AB17" i="1"/>
  <c r="AZ17" i="1"/>
  <c r="P17" i="1"/>
  <c r="AK17" i="1"/>
  <c r="Y17" i="1"/>
  <c r="AH17" i="1"/>
  <c r="AN17" i="1"/>
  <c r="BC17" i="1"/>
  <c r="AW17" i="1"/>
  <c r="AQ17" i="1"/>
  <c r="AJ13" i="1"/>
  <c r="AM13" i="1"/>
  <c r="AP13" i="1"/>
  <c r="AG13" i="1"/>
  <c r="AV13" i="1"/>
  <c r="BE13" i="1"/>
  <c r="AD13" i="1"/>
  <c r="BE23" i="1"/>
  <c r="X23" i="1"/>
  <c r="AS23" i="1"/>
  <c r="AY23" i="1"/>
  <c r="AD23" i="1"/>
  <c r="AP23" i="1"/>
  <c r="AM23" i="1"/>
  <c r="AJ23" i="1"/>
  <c r="AV23" i="1"/>
  <c r="R23" i="1"/>
  <c r="U23" i="1"/>
  <c r="AA23" i="1"/>
  <c r="BB23" i="1"/>
  <c r="O23" i="1"/>
  <c r="AG23" i="1"/>
  <c r="L36" i="1"/>
  <c r="Y45" i="1"/>
  <c r="X17" i="1"/>
  <c r="AP17" i="1"/>
  <c r="AC8" i="24"/>
  <c r="AE45" i="1"/>
  <c r="X36" i="1"/>
  <c r="L17" i="1"/>
  <c r="AM17" i="1"/>
  <c r="AE28" i="1"/>
  <c r="AK28" i="1"/>
  <c r="AK45" i="1"/>
  <c r="AS36" i="1"/>
  <c r="L23" i="1"/>
  <c r="M17" i="1"/>
  <c r="AY17" i="1"/>
  <c r="AJ17" i="1"/>
  <c r="AY36" i="1"/>
  <c r="O17" i="1"/>
  <c r="BH46" i="1"/>
  <c r="AH45" i="1"/>
  <c r="BF45" i="1"/>
  <c r="R36" i="1"/>
  <c r="BF21" i="1"/>
  <c r="BE36" i="1"/>
  <c r="AS17" i="1"/>
  <c r="U25" i="1"/>
  <c r="AB21" i="1"/>
  <c r="AT33" i="1"/>
  <c r="AB45" i="1"/>
  <c r="O36" i="1"/>
  <c r="U36" i="1"/>
  <c r="BK32" i="1"/>
  <c r="J32" i="1" s="1"/>
  <c r="AV17" i="1"/>
  <c r="U24" i="1"/>
  <c r="AJ36" i="1"/>
  <c r="S45" i="1"/>
  <c r="AB33" i="1"/>
  <c r="Y33" i="1"/>
  <c r="AV36" i="1"/>
  <c r="AA24" i="1"/>
  <c r="AP36" i="1"/>
  <c r="AQ45" i="1"/>
  <c r="S21" i="1"/>
  <c r="AD36" i="1"/>
  <c r="AD17" i="1"/>
  <c r="U17" i="1"/>
  <c r="AG36" i="1"/>
  <c r="AZ45" i="1"/>
  <c r="BB36" i="1"/>
  <c r="M18" i="30"/>
  <c r="R17" i="1"/>
  <c r="P45" i="1"/>
  <c r="AW45" i="1"/>
  <c r="BB24" i="20"/>
  <c r="AX24" i="20"/>
  <c r="AV49" i="1"/>
  <c r="BB49" i="1" s="1"/>
  <c r="BH49" i="1"/>
  <c r="L46" i="1"/>
  <c r="E35" i="29" s="1"/>
  <c r="B35" i="29"/>
  <c r="AS13" i="1"/>
  <c r="BB13" i="1"/>
  <c r="X13" i="1"/>
  <c r="L13" i="1"/>
  <c r="AY13" i="1"/>
  <c r="AA13" i="1"/>
  <c r="R13" i="1"/>
  <c r="O13" i="1"/>
  <c r="U13" i="1"/>
  <c r="D2" i="30"/>
  <c r="H4" i="1" s="1"/>
  <c r="H6" i="1"/>
  <c r="B2" i="30"/>
  <c r="H7" i="1" s="1"/>
  <c r="K7" i="1" s="1"/>
  <c r="J2" i="30"/>
  <c r="K6" i="1" s="1"/>
  <c r="B1" i="9" s="1"/>
  <c r="C2" i="30"/>
  <c r="F7" i="1" s="1"/>
  <c r="AE4" i="24" s="1"/>
  <c r="F2" i="30"/>
  <c r="AZ31" i="20"/>
  <c r="L32" i="1"/>
  <c r="O32" i="1"/>
  <c r="X32" i="1"/>
  <c r="AA32" i="1"/>
  <c r="AM32" i="1"/>
  <c r="AS32" i="1"/>
  <c r="R32" i="1"/>
  <c r="AG32" i="1"/>
  <c r="BE32" i="1"/>
  <c r="AP32" i="1"/>
  <c r="AD32" i="1"/>
  <c r="U32" i="1"/>
  <c r="AJ32" i="1"/>
  <c r="AS22" i="1"/>
  <c r="BB22" i="1"/>
  <c r="AP22" i="1"/>
  <c r="AM22" i="1"/>
  <c r="O22" i="1"/>
  <c r="AA22" i="1"/>
  <c r="AG22" i="1"/>
  <c r="AJ22" i="1"/>
  <c r="U22" i="1"/>
  <c r="BE22" i="1"/>
  <c r="BC27" i="1"/>
  <c r="V27" i="1"/>
  <c r="Y27" i="1"/>
  <c r="AZ27" i="1"/>
  <c r="M27" i="1"/>
  <c r="AW27" i="1"/>
  <c r="BF27" i="1"/>
  <c r="AK27" i="1"/>
  <c r="AT27" i="1"/>
  <c r="AT23" i="1"/>
  <c r="AB23" i="1"/>
  <c r="M23" i="1"/>
  <c r="S23" i="1"/>
  <c r="Y23" i="1"/>
  <c r="AE23" i="1"/>
  <c r="AH23" i="1"/>
  <c r="P23" i="1"/>
  <c r="BC23" i="1"/>
  <c r="AQ23" i="1"/>
  <c r="S13" i="19"/>
  <c r="Y15" i="19" s="1"/>
  <c r="S12" i="19"/>
  <c r="B26" i="29"/>
  <c r="V19" i="1"/>
  <c r="AT19" i="1"/>
  <c r="M19" i="1"/>
  <c r="AE19" i="1"/>
  <c r="AN19" i="1"/>
  <c r="BC19" i="1"/>
  <c r="AQ19" i="1"/>
  <c r="AB19" i="1"/>
  <c r="AW19" i="1"/>
  <c r="AP43" i="1"/>
  <c r="AD43" i="1"/>
  <c r="AM43" i="1"/>
  <c r="AA43" i="1"/>
  <c r="U43" i="1"/>
  <c r="AJ43" i="1"/>
  <c r="AS43" i="1"/>
  <c r="AV43" i="1"/>
  <c r="X43" i="1"/>
  <c r="BE43" i="1"/>
  <c r="R43" i="1"/>
  <c r="BB43" i="1"/>
  <c r="L30" i="1"/>
  <c r="AN22" i="1"/>
  <c r="M22" i="1"/>
  <c r="S22" i="1"/>
  <c r="BC22" i="1"/>
  <c r="BF22" i="1"/>
  <c r="AW22" i="1"/>
  <c r="AH22" i="1"/>
  <c r="AT22" i="1"/>
  <c r="AQ22" i="1"/>
  <c r="P22" i="1"/>
  <c r="AK22" i="1"/>
  <c r="AB22" i="1"/>
  <c r="AE22" i="1"/>
  <c r="AD45" i="1"/>
  <c r="L45" i="1"/>
  <c r="E34" i="29" s="1"/>
  <c r="O45" i="1"/>
  <c r="AA45" i="1"/>
  <c r="R45" i="1"/>
  <c r="AG45" i="1"/>
  <c r="AY45" i="1"/>
  <c r="X45" i="1"/>
  <c r="AM45" i="1"/>
  <c r="AJ45" i="1"/>
  <c r="AT18" i="1"/>
  <c r="AK18" i="1"/>
  <c r="M18" i="1"/>
  <c r="AQ18" i="1"/>
  <c r="AN18" i="1"/>
  <c r="P18" i="1"/>
  <c r="S18" i="1"/>
  <c r="AE18" i="1"/>
  <c r="AZ18" i="1"/>
  <c r="AG3" i="19"/>
  <c r="A1" i="9"/>
  <c r="C1" i="9" s="1"/>
  <c r="D1" i="9" s="1"/>
  <c r="BI35" i="1"/>
  <c r="B37" i="29"/>
  <c r="L48" i="1"/>
  <c r="E37" i="29" s="1"/>
  <c r="S34" i="1"/>
  <c r="AE34" i="1"/>
  <c r="AQ34" i="1"/>
  <c r="BC34" i="1"/>
  <c r="P34" i="1"/>
  <c r="Y34" i="1"/>
  <c r="AK34" i="1"/>
  <c r="AW34" i="1"/>
  <c r="V34" i="1"/>
  <c r="BF34" i="1"/>
  <c r="AH34" i="1"/>
  <c r="AT34" i="1"/>
  <c r="B28" i="29"/>
  <c r="M20" i="1"/>
  <c r="O16" i="1"/>
  <c r="AM16" i="1"/>
  <c r="AV16" i="1"/>
  <c r="BB16" i="1"/>
  <c r="AY16" i="1"/>
  <c r="AS16" i="1"/>
  <c r="L16" i="1"/>
  <c r="X16" i="1"/>
  <c r="AP16" i="1"/>
  <c r="AJ16" i="1"/>
  <c r="BE16" i="1"/>
  <c r="M44" i="1"/>
  <c r="B33" i="29"/>
  <c r="S25" i="1"/>
  <c r="AE25" i="1"/>
  <c r="AQ25" i="1"/>
  <c r="BC25" i="1"/>
  <c r="P25" i="1"/>
  <c r="AB25" i="1"/>
  <c r="AN25" i="1"/>
  <c r="AZ25" i="1"/>
  <c r="Y25" i="1"/>
  <c r="AK25" i="1"/>
  <c r="AW25" i="1"/>
  <c r="V25" i="1"/>
  <c r="BF25" i="1"/>
  <c r="AH25" i="1"/>
  <c r="AT25" i="1"/>
  <c r="M25" i="1"/>
  <c r="B25" i="29"/>
  <c r="AV42" i="1"/>
  <c r="BE42" i="1"/>
  <c r="U42" i="1"/>
  <c r="AD42" i="1"/>
  <c r="AM42" i="1"/>
  <c r="X42" i="1"/>
  <c r="AG42" i="1"/>
  <c r="AS42" i="1"/>
  <c r="BB42" i="1"/>
  <c r="AA42" i="1"/>
  <c r="L42" i="1"/>
  <c r="B34" i="29"/>
  <c r="M45" i="1"/>
  <c r="H34" i="29" s="1"/>
  <c r="AS25" i="1"/>
  <c r="R25" i="1"/>
  <c r="AM25" i="1"/>
  <c r="BB25" i="1"/>
  <c r="L25" i="1"/>
  <c r="AD25" i="1"/>
  <c r="O25" i="1"/>
  <c r="AP25" i="1"/>
  <c r="AV25" i="1"/>
  <c r="AA25" i="1"/>
  <c r="AJ25" i="1"/>
  <c r="AY25" i="1"/>
  <c r="B27" i="29"/>
  <c r="L28" i="1"/>
  <c r="AW17" i="20"/>
  <c r="AX17" i="20"/>
  <c r="AY17" i="20"/>
  <c r="AZ17" i="20"/>
  <c r="BA17" i="20"/>
  <c r="AM24" i="1"/>
  <c r="BE24" i="1"/>
  <c r="AP24" i="1"/>
  <c r="AY24" i="1"/>
  <c r="AS24" i="1"/>
  <c r="AG24" i="1"/>
  <c r="O24" i="1"/>
  <c r="AV24" i="1"/>
  <c r="BB24" i="1"/>
  <c r="L24" i="1"/>
  <c r="AD24" i="1"/>
  <c r="R24" i="1"/>
  <c r="X9" i="19"/>
  <c r="AW28" i="1"/>
  <c r="M28" i="1"/>
  <c r="AH28" i="1"/>
  <c r="AT28" i="1"/>
  <c r="Y28" i="1"/>
  <c r="P28" i="1"/>
  <c r="AB28" i="1"/>
  <c r="BF28" i="1"/>
  <c r="V28" i="1"/>
  <c r="S28" i="1"/>
  <c r="AN28" i="1"/>
  <c r="AZ28" i="1"/>
  <c r="AQ28" i="1"/>
  <c r="P24" i="1"/>
  <c r="AB24" i="1"/>
  <c r="AN24" i="1"/>
  <c r="AZ24" i="1"/>
  <c r="AK24" i="1"/>
  <c r="AW24" i="1"/>
  <c r="V24" i="1"/>
  <c r="BF24" i="1"/>
  <c r="AH24" i="1"/>
  <c r="AT24" i="1"/>
  <c r="M24" i="1"/>
  <c r="AT21" i="1"/>
  <c r="AH21" i="1"/>
  <c r="Y21" i="1"/>
  <c r="AN21" i="1"/>
  <c r="M21" i="1"/>
  <c r="AW21" i="1"/>
  <c r="AE21" i="1"/>
  <c r="BC21" i="1"/>
  <c r="V21" i="1"/>
  <c r="AZ21" i="1"/>
  <c r="AK21" i="1"/>
  <c r="BB11" i="1"/>
  <c r="AG11" i="1"/>
  <c r="V48" i="1"/>
  <c r="BI48" i="1" s="1"/>
  <c r="BG51" i="1"/>
  <c r="AU9" i="20"/>
  <c r="M63" i="1"/>
  <c r="AS11" i="1"/>
  <c r="AT48" i="1"/>
  <c r="AT23" i="20"/>
  <c r="X11" i="1"/>
  <c r="M48" i="1"/>
  <c r="H37" i="29" s="1"/>
  <c r="AK48" i="1"/>
  <c r="AH48" i="1"/>
  <c r="Y48" i="1"/>
  <c r="AU40" i="20"/>
  <c r="R11" i="1"/>
  <c r="C13" i="20"/>
  <c r="AY3" i="20" l="1"/>
  <c r="AV26" i="1"/>
  <c r="O26" i="1"/>
  <c r="AG26" i="1"/>
  <c r="AS26" i="1"/>
  <c r="X26" i="1"/>
  <c r="AJ26" i="1"/>
  <c r="BE26" i="1"/>
  <c r="AM26" i="1"/>
  <c r="BB26" i="1"/>
  <c r="AA26" i="1"/>
  <c r="AD26" i="1"/>
  <c r="AP26" i="1"/>
  <c r="L26" i="1"/>
  <c r="BI26" i="1"/>
  <c r="R26" i="1"/>
  <c r="BH27" i="1"/>
  <c r="E27" i="29"/>
  <c r="BH28" i="1"/>
  <c r="BC32" i="1"/>
  <c r="S32" i="1"/>
  <c r="AW32" i="1"/>
  <c r="AN32" i="1"/>
  <c r="AQ32" i="1"/>
  <c r="AT32" i="1"/>
  <c r="AZ32" i="1"/>
  <c r="P32" i="1"/>
  <c r="V32" i="1"/>
  <c r="AH32" i="1"/>
  <c r="Y32" i="1"/>
  <c r="M32" i="1"/>
  <c r="BF32" i="1"/>
  <c r="AE32" i="1"/>
  <c r="AB32" i="1"/>
  <c r="AK32" i="1"/>
  <c r="E30" i="29"/>
  <c r="BH37" i="1"/>
  <c r="BH36" i="1"/>
  <c r="E33" i="29"/>
  <c r="Y40" i="1"/>
  <c r="BC40" i="1"/>
  <c r="AQ40" i="1"/>
  <c r="AE40" i="1"/>
  <c r="BF40" i="1"/>
  <c r="M40" i="1"/>
  <c r="H31" i="29" s="1"/>
  <c r="AT40" i="1"/>
  <c r="AH40" i="1"/>
  <c r="S40" i="1"/>
  <c r="AN39" i="1"/>
  <c r="AN40" i="1"/>
  <c r="AK40" i="1"/>
  <c r="V40" i="1"/>
  <c r="AB40" i="1"/>
  <c r="AZ40" i="1"/>
  <c r="P40" i="1"/>
  <c r="X14" i="19"/>
  <c r="AF12" i="19" s="1"/>
  <c r="BA3" i="20"/>
  <c r="AZ3" i="20"/>
  <c r="BB2" i="20"/>
  <c r="AW10" i="20" s="1"/>
  <c r="BB30" i="20"/>
  <c r="AW38" i="20" s="1"/>
  <c r="Y31" i="1"/>
  <c r="S31" i="1"/>
  <c r="BC31" i="1"/>
  <c r="AW31" i="1"/>
  <c r="AH31" i="1"/>
  <c r="AB31" i="1"/>
  <c r="AE31" i="1"/>
  <c r="M31" i="1"/>
  <c r="AQ31" i="1"/>
  <c r="AZ31" i="1"/>
  <c r="AT31" i="1"/>
  <c r="V31" i="1"/>
  <c r="P31" i="1"/>
  <c r="AN31" i="1"/>
  <c r="AK31" i="1"/>
  <c r="BF31" i="1"/>
  <c r="AK39" i="1"/>
  <c r="AE39" i="1"/>
  <c r="AB39" i="1"/>
  <c r="AT39" i="1"/>
  <c r="AZ39" i="1"/>
  <c r="S39" i="1"/>
  <c r="AH39" i="1"/>
  <c r="BC39" i="1"/>
  <c r="AW39" i="1"/>
  <c r="V39" i="1"/>
  <c r="BF39" i="1"/>
  <c r="AQ39" i="1"/>
  <c r="Y39" i="1"/>
  <c r="P39" i="1"/>
  <c r="E26" i="29"/>
  <c r="AY21" i="1"/>
  <c r="AD21" i="1"/>
  <c r="AS21" i="1"/>
  <c r="L21" i="1"/>
  <c r="AP21" i="1"/>
  <c r="U21" i="1"/>
  <c r="BH44" i="1"/>
  <c r="M30" i="1"/>
  <c r="S30" i="1"/>
  <c r="AA29" i="1"/>
  <c r="BF30" i="1"/>
  <c r="AV29" i="1"/>
  <c r="AN30" i="1"/>
  <c r="L29" i="1"/>
  <c r="E28" i="29" s="1"/>
  <c r="AP29" i="1"/>
  <c r="AY29" i="1"/>
  <c r="H39" i="29"/>
  <c r="BF38" i="1"/>
  <c r="H32" i="29"/>
  <c r="BI42" i="1"/>
  <c r="E32" i="29"/>
  <c r="BI41" i="1"/>
  <c r="BH41" i="1"/>
  <c r="X21" i="1"/>
  <c r="O21" i="1"/>
  <c r="AJ21" i="1"/>
  <c r="AA21" i="1"/>
  <c r="R21" i="1"/>
  <c r="AM21" i="1"/>
  <c r="AG21" i="1"/>
  <c r="AV21" i="1"/>
  <c r="BB21" i="1"/>
  <c r="AV18" i="1"/>
  <c r="L20" i="1"/>
  <c r="AW30" i="1"/>
  <c r="BC30" i="1"/>
  <c r="AQ30" i="1"/>
  <c r="Y30" i="1"/>
  <c r="AK30" i="1"/>
  <c r="AE30" i="1"/>
  <c r="AH30" i="1"/>
  <c r="AT30" i="1"/>
  <c r="P30" i="1"/>
  <c r="V30" i="1"/>
  <c r="AZ30" i="1"/>
  <c r="BA46" i="20"/>
  <c r="AW46" i="20"/>
  <c r="AY46" i="20"/>
  <c r="AZ46" i="20"/>
  <c r="AX46" i="20"/>
  <c r="AQ38" i="1"/>
  <c r="AH38" i="1"/>
  <c r="Y38" i="1"/>
  <c r="AK38" i="1"/>
  <c r="P38" i="1"/>
  <c r="AZ38" i="1"/>
  <c r="AT38" i="1"/>
  <c r="AN38" i="1"/>
  <c r="BC38" i="1"/>
  <c r="S38" i="1"/>
  <c r="AW38" i="1"/>
  <c r="AE38" i="1"/>
  <c r="V38" i="1"/>
  <c r="BH38" i="1"/>
  <c r="AB38" i="1"/>
  <c r="AS29" i="1"/>
  <c r="AJ29" i="1"/>
  <c r="BE29" i="1"/>
  <c r="BB29" i="1"/>
  <c r="U29" i="1"/>
  <c r="AD29" i="1"/>
  <c r="R29" i="1"/>
  <c r="AM29" i="1"/>
  <c r="AT29" i="1"/>
  <c r="BF29" i="1"/>
  <c r="V29" i="1"/>
  <c r="AK29" i="1"/>
  <c r="M29" i="1"/>
  <c r="AB29" i="1"/>
  <c r="P29" i="1"/>
  <c r="AZ29" i="1"/>
  <c r="BC29" i="1"/>
  <c r="S29" i="1"/>
  <c r="AE29" i="1"/>
  <c r="AN29" i="1"/>
  <c r="Y29" i="1"/>
  <c r="AQ29" i="1"/>
  <c r="AW29" i="1"/>
  <c r="AH29" i="1"/>
  <c r="AG29" i="1"/>
  <c r="X29" i="1"/>
  <c r="H33" i="29"/>
  <c r="BI43" i="1"/>
  <c r="BI44" i="1"/>
  <c r="E31" i="29"/>
  <c r="BH40" i="1"/>
  <c r="BH39" i="1"/>
  <c r="BH30" i="1"/>
  <c r="BH33" i="1"/>
  <c r="BH31" i="1"/>
  <c r="BI33" i="1"/>
  <c r="AV20" i="1"/>
  <c r="AD20" i="1"/>
  <c r="AJ20" i="1"/>
  <c r="R20" i="1"/>
  <c r="O20" i="1"/>
  <c r="AY20" i="1"/>
  <c r="X20" i="1"/>
  <c r="AP20" i="1"/>
  <c r="AA18" i="1"/>
  <c r="AM18" i="1"/>
  <c r="BE20" i="1"/>
  <c r="AP18" i="1"/>
  <c r="U20" i="1"/>
  <c r="AA20" i="1"/>
  <c r="AM20" i="1"/>
  <c r="BB20" i="1"/>
  <c r="AS20" i="1"/>
  <c r="BB18" i="1"/>
  <c r="AG18" i="1"/>
  <c r="O18" i="1"/>
  <c r="BE18" i="1"/>
  <c r="AD18" i="1"/>
  <c r="U18" i="1"/>
  <c r="R18" i="1"/>
  <c r="AJ18" i="1"/>
  <c r="L18" i="1"/>
  <c r="AY18" i="1"/>
  <c r="AS18" i="1"/>
  <c r="U15" i="1"/>
  <c r="O15" i="1"/>
  <c r="AV15" i="1"/>
  <c r="AM15" i="1"/>
  <c r="AD15" i="1"/>
  <c r="AP15" i="1"/>
  <c r="AG15" i="1"/>
  <c r="AJ15" i="1"/>
  <c r="BB15" i="1"/>
  <c r="AS15" i="1"/>
  <c r="AY19" i="1"/>
  <c r="AA15" i="1"/>
  <c r="X15" i="1"/>
  <c r="O19" i="1"/>
  <c r="BE15" i="1"/>
  <c r="L15" i="1"/>
  <c r="AY15" i="1"/>
  <c r="BE19" i="1"/>
  <c r="U19" i="1"/>
  <c r="L19" i="1"/>
  <c r="BB19" i="1"/>
  <c r="AA19" i="1"/>
  <c r="AG19" i="1"/>
  <c r="AV19" i="1"/>
  <c r="X19" i="1"/>
  <c r="AD19" i="1"/>
  <c r="R19" i="1"/>
  <c r="AS19" i="1"/>
  <c r="AP19" i="1"/>
  <c r="AJ19" i="1"/>
  <c r="AG12" i="1"/>
  <c r="AY12" i="1"/>
  <c r="AV12" i="1"/>
  <c r="AP12" i="1"/>
  <c r="AM12" i="1"/>
  <c r="U12" i="1"/>
  <c r="BB12" i="1"/>
  <c r="AS12" i="1"/>
  <c r="AJ12" i="1"/>
  <c r="AA12" i="1"/>
  <c r="R12" i="1"/>
  <c r="O12" i="1"/>
  <c r="X12" i="1"/>
  <c r="AD12" i="1"/>
  <c r="BE12" i="1"/>
  <c r="BI20" i="1"/>
  <c r="BH10" i="1"/>
  <c r="BH43" i="1"/>
  <c r="BH23" i="1"/>
  <c r="BH22" i="1"/>
  <c r="BH17" i="1"/>
  <c r="BI18" i="1"/>
  <c r="BI17" i="1"/>
  <c r="BH14" i="1"/>
  <c r="BI45" i="1"/>
  <c r="BH25" i="1"/>
  <c r="Y3" i="19"/>
  <c r="AI3" i="19"/>
  <c r="M59" i="1"/>
  <c r="H41" i="29" s="1"/>
  <c r="AJ3" i="20"/>
  <c r="AU43" i="20" s="1"/>
  <c r="X3" i="19"/>
  <c r="AH3" i="19"/>
  <c r="M67" i="1"/>
  <c r="BH45" i="1"/>
  <c r="AH3" i="20"/>
  <c r="AU14" i="20" s="1"/>
  <c r="BC5" i="20" s="1"/>
  <c r="K4" i="1"/>
  <c r="BH16" i="1"/>
  <c r="BH13" i="1"/>
  <c r="BI23" i="1"/>
  <c r="H26" i="29"/>
  <c r="BI19" i="1"/>
  <c r="BH32" i="1"/>
  <c r="BI27" i="1"/>
  <c r="BH42" i="1"/>
  <c r="G14" i="8"/>
  <c r="G5" i="8"/>
  <c r="G7" i="8"/>
  <c r="G6" i="8"/>
  <c r="G27" i="8"/>
  <c r="F27" i="8" s="1"/>
  <c r="H10" i="17"/>
  <c r="G10" i="17" s="1"/>
  <c r="C4" i="9"/>
  <c r="G12" i="8"/>
  <c r="G13" i="8"/>
  <c r="G26" i="8"/>
  <c r="F26" i="8" s="1"/>
  <c r="G11" i="8"/>
  <c r="G8" i="8"/>
  <c r="G9" i="8"/>
  <c r="G10" i="8"/>
  <c r="G29" i="8"/>
  <c r="F29" i="8" s="1"/>
  <c r="H12" i="17"/>
  <c r="G12" i="17" s="1"/>
  <c r="H11" i="17"/>
  <c r="G11" i="17" s="1"/>
  <c r="G30" i="8"/>
  <c r="F30" i="8" s="1"/>
  <c r="BI21" i="1"/>
  <c r="BB16" i="20"/>
  <c r="BI34" i="1"/>
  <c r="AX28" i="20"/>
  <c r="Y20" i="19"/>
  <c r="BI28" i="1"/>
  <c r="BH24" i="1"/>
  <c r="BI22" i="1"/>
  <c r="BB28" i="20"/>
  <c r="BI24" i="1"/>
  <c r="H27" i="29"/>
  <c r="BH11" i="1"/>
  <c r="BA51" i="1"/>
  <c r="AI51" i="1"/>
  <c r="Q51" i="1"/>
  <c r="AF51" i="1"/>
  <c r="AC51" i="1"/>
  <c r="Z51" i="1"/>
  <c r="AO51" i="1"/>
  <c r="AX51" i="1"/>
  <c r="N51" i="1"/>
  <c r="BD51" i="1"/>
  <c r="T51" i="1"/>
  <c r="AU51" i="1"/>
  <c r="W51" i="1"/>
  <c r="AR51" i="1"/>
  <c r="AL51" i="1"/>
  <c r="BI25" i="1"/>
  <c r="S14" i="24"/>
  <c r="T14" i="24" s="1"/>
  <c r="U14" i="24" s="1"/>
  <c r="S7" i="24"/>
  <c r="T7" i="24" s="1"/>
  <c r="U7" i="24" s="1"/>
  <c r="S15" i="24"/>
  <c r="T15" i="24" s="1"/>
  <c r="U15" i="24" s="1"/>
  <c r="S12" i="24"/>
  <c r="T12" i="24" s="1"/>
  <c r="U12" i="24" s="1"/>
  <c r="S4" i="24"/>
  <c r="T4" i="24" s="1"/>
  <c r="U4" i="24" s="1"/>
  <c r="S11" i="24"/>
  <c r="T11" i="24" s="1"/>
  <c r="U11" i="24" s="1"/>
  <c r="S13" i="24"/>
  <c r="T13" i="24" s="1"/>
  <c r="U13" i="24" s="1"/>
  <c r="S10" i="24"/>
  <c r="T10" i="24" s="1"/>
  <c r="U10" i="24" s="1"/>
  <c r="S5" i="24"/>
  <c r="T5" i="24" s="1"/>
  <c r="U5" i="24" s="1"/>
  <c r="S8" i="24"/>
  <c r="T8" i="24" s="1"/>
  <c r="U8" i="24" s="1"/>
  <c r="S6" i="24"/>
  <c r="T6" i="24" s="1"/>
  <c r="U6" i="24" s="1"/>
  <c r="S9" i="24"/>
  <c r="T9" i="24" s="1"/>
  <c r="U9" i="24" s="1"/>
  <c r="AW42" i="20" l="1"/>
  <c r="BH26" i="1"/>
  <c r="BI32" i="1"/>
  <c r="BI40" i="1"/>
  <c r="U20" i="19"/>
  <c r="Q21" i="19" s="1"/>
  <c r="AE16" i="19" s="1"/>
  <c r="BA14" i="20"/>
  <c r="BD13" i="20" s="1"/>
  <c r="AW14" i="20"/>
  <c r="BA10" i="20"/>
  <c r="BD9" i="20" s="1"/>
  <c r="BA38" i="20"/>
  <c r="BA42" i="20"/>
  <c r="BC42" i="20" s="1"/>
  <c r="BI31" i="1"/>
  <c r="BI39" i="1"/>
  <c r="H28" i="29"/>
  <c r="BH21" i="1"/>
  <c r="BI30" i="1"/>
  <c r="BB45" i="20"/>
  <c r="BI38" i="1"/>
  <c r="BI29" i="1"/>
  <c r="BH29" i="1"/>
  <c r="BH20" i="1"/>
  <c r="BH18" i="1"/>
  <c r="E25" i="29"/>
  <c r="BH15" i="1"/>
  <c r="BH19" i="1"/>
  <c r="BH12" i="1"/>
  <c r="W13" i="24"/>
  <c r="V13" i="24"/>
  <c r="AW24" i="20"/>
  <c r="AY24" i="20" s="1"/>
  <c r="BA28" i="20"/>
  <c r="BC28" i="20" s="1"/>
  <c r="AW28" i="20"/>
  <c r="AY28" i="20" s="1"/>
  <c r="BA24" i="20"/>
  <c r="BC24" i="20" s="1"/>
  <c r="V15" i="24"/>
  <c r="W15" i="24"/>
  <c r="W11" i="24"/>
  <c r="V11" i="24"/>
  <c r="V4" i="24"/>
  <c r="W4" i="24"/>
  <c r="W12" i="24"/>
  <c r="V12" i="24"/>
  <c r="V7" i="24"/>
  <c r="W7" i="24"/>
  <c r="W14" i="24"/>
  <c r="V14" i="24"/>
  <c r="V9" i="24"/>
  <c r="W9" i="24"/>
  <c r="AY34" i="20"/>
  <c r="BA34" i="20"/>
  <c r="BB34" i="20"/>
  <c r="AX34" i="20"/>
  <c r="AW34" i="20"/>
  <c r="AZ34" i="20"/>
  <c r="BC34" i="20"/>
  <c r="V6" i="24"/>
  <c r="W6" i="24"/>
  <c r="V8" i="24"/>
  <c r="W8" i="24"/>
  <c r="L59" i="1"/>
  <c r="E41" i="29" s="1"/>
  <c r="BJ46" i="1"/>
  <c r="F11" i="17"/>
  <c r="AF3" i="19"/>
  <c r="F20" i="17"/>
  <c r="F10" i="17"/>
  <c r="F21" i="17"/>
  <c r="V3" i="19"/>
  <c r="R16" i="19" s="1"/>
  <c r="L50" i="1" s="1"/>
  <c r="F22" i="17"/>
  <c r="BJ47" i="1"/>
  <c r="I47" i="1" s="1"/>
  <c r="F12" i="17"/>
  <c r="V5" i="24"/>
  <c r="W5" i="24"/>
  <c r="BB10" i="20"/>
  <c r="AX10" i="20"/>
  <c r="V10" i="24"/>
  <c r="W10" i="24"/>
  <c r="BK26" i="1"/>
  <c r="BK27" i="1"/>
  <c r="BK28" i="1"/>
  <c r="R17" i="19"/>
  <c r="M50" i="1" s="1"/>
  <c r="R18" i="19"/>
  <c r="M62" i="1" s="1"/>
  <c r="Q24" i="19" l="1"/>
  <c r="AM47" i="1"/>
  <c r="O47" i="1"/>
  <c r="AJ47" i="1"/>
  <c r="AY47" i="1"/>
  <c r="BB47" i="1"/>
  <c r="AD47" i="1"/>
  <c r="AP47" i="1"/>
  <c r="AS47" i="1"/>
  <c r="X47" i="1"/>
  <c r="BE47" i="1"/>
  <c r="R47" i="1"/>
  <c r="AG47" i="1"/>
  <c r="AV47" i="1"/>
  <c r="AA47" i="1"/>
  <c r="U47" i="1"/>
  <c r="L47" i="1"/>
  <c r="E36" i="29" s="1"/>
  <c r="BA54" i="20"/>
  <c r="BC54" i="20" s="1"/>
  <c r="AW50" i="20"/>
  <c r="BA50" i="20" s="1"/>
  <c r="BC50" i="20" s="1"/>
  <c r="AW54" i="20"/>
  <c r="AY54" i="20" s="1"/>
  <c r="AY50" i="20"/>
  <c r="AZ28" i="20"/>
  <c r="AZ24" i="20"/>
  <c r="AG50" i="1"/>
  <c r="AD50" i="1"/>
  <c r="U50" i="1"/>
  <c r="BE50" i="1"/>
  <c r="AP50" i="1"/>
  <c r="AY50" i="1"/>
  <c r="O50" i="1"/>
  <c r="AV50" i="1"/>
  <c r="BB50" i="1"/>
  <c r="AM50" i="1"/>
  <c r="X50" i="1"/>
  <c r="R50" i="1"/>
  <c r="AJ50" i="1"/>
  <c r="E38" i="29"/>
  <c r="AS50" i="1"/>
  <c r="AA50" i="1"/>
  <c r="L55" i="1"/>
  <c r="AA15" i="24"/>
  <c r="X15" i="24"/>
  <c r="AB15" i="24" s="1"/>
  <c r="AY10" i="20"/>
  <c r="AX14" i="20"/>
  <c r="BB14" i="20"/>
  <c r="BC14" i="20" s="1"/>
  <c r="BC10" i="20"/>
  <c r="X14" i="24"/>
  <c r="AB14" i="24" s="1"/>
  <c r="AA14" i="24"/>
  <c r="BD33" i="20"/>
  <c r="X12" i="24"/>
  <c r="AB12" i="24" s="1"/>
  <c r="AA12" i="24"/>
  <c r="X4" i="24"/>
  <c r="AB4" i="24" s="1"/>
  <c r="AA4" i="24"/>
  <c r="AH51" i="1"/>
  <c r="AQ51" i="1"/>
  <c r="AN51" i="1"/>
  <c r="BF51" i="1"/>
  <c r="V51" i="1"/>
  <c r="AB51" i="1"/>
  <c r="Y51" i="1"/>
  <c r="H38" i="29"/>
  <c r="AK51" i="1"/>
  <c r="P51" i="1"/>
  <c r="S51" i="1"/>
  <c r="BC51" i="1"/>
  <c r="AZ51" i="1"/>
  <c r="AE51" i="1"/>
  <c r="AW51" i="1"/>
  <c r="AT51" i="1"/>
  <c r="X5" i="24"/>
  <c r="AB5" i="24" s="1"/>
  <c r="AA5" i="24"/>
  <c r="X8" i="24"/>
  <c r="AB8" i="24" s="1"/>
  <c r="AA8" i="24"/>
  <c r="X9" i="24"/>
  <c r="AB9" i="24" s="1"/>
  <c r="AA9" i="24"/>
  <c r="AA7" i="24"/>
  <c r="X7" i="24"/>
  <c r="AB7" i="24" s="1"/>
  <c r="AA10" i="24"/>
  <c r="X10" i="24"/>
  <c r="AB10" i="24" s="1"/>
  <c r="AA6" i="24"/>
  <c r="X6" i="24"/>
  <c r="AB6" i="24" s="1"/>
  <c r="X11" i="24"/>
  <c r="AB11" i="24" s="1"/>
  <c r="AA11" i="24"/>
  <c r="X13" i="24"/>
  <c r="AB13" i="24" s="1"/>
  <c r="AA13" i="24"/>
  <c r="AZ50" i="20" l="1"/>
  <c r="AQ52" i="20" s="1"/>
  <c r="AM18" i="20" s="1"/>
  <c r="AM19" i="20" s="1"/>
  <c r="H10" i="24"/>
  <c r="J16" i="1" s="1"/>
  <c r="AQ27" i="20"/>
  <c r="AM5" i="20" s="1"/>
  <c r="AM10" i="20" s="1"/>
  <c r="AM15" i="20" s="1"/>
  <c r="AZ54" i="20"/>
  <c r="AQ53" i="20" s="1"/>
  <c r="AM21" i="20" s="1"/>
  <c r="AM22" i="20" s="1"/>
  <c r="AM26" i="20" s="1"/>
  <c r="H9" i="24"/>
  <c r="J15" i="1" s="1"/>
  <c r="AK15" i="1" s="1"/>
  <c r="H8" i="24"/>
  <c r="J14" i="1" s="1"/>
  <c r="AK14" i="1" s="1"/>
  <c r="H7" i="24"/>
  <c r="J13" i="1" s="1"/>
  <c r="AQ13" i="1" s="1"/>
  <c r="H6" i="24"/>
  <c r="J12" i="1" s="1"/>
  <c r="AE12" i="1" s="1"/>
  <c r="H5" i="24"/>
  <c r="J11" i="1" s="1"/>
  <c r="BC11" i="1" s="1"/>
  <c r="H4" i="24"/>
  <c r="J10" i="1" s="1"/>
  <c r="AQ10" i="1" s="1"/>
  <c r="R55" i="1"/>
  <c r="R52" i="1"/>
  <c r="AV52" i="1"/>
  <c r="AV55" i="1"/>
  <c r="BD8" i="20"/>
  <c r="BD10" i="20" s="1"/>
  <c r="BD11" i="20" s="1"/>
  <c r="AZ10" i="20" s="1"/>
  <c r="BB55" i="1"/>
  <c r="BB52" i="1"/>
  <c r="BH50" i="1"/>
  <c r="O52" i="1"/>
  <c r="O55" i="1"/>
  <c r="AM52" i="1"/>
  <c r="AM55" i="1"/>
  <c r="AY55" i="1"/>
  <c r="AY52" i="1"/>
  <c r="X55" i="1"/>
  <c r="X52" i="1"/>
  <c r="BI51" i="1"/>
  <c r="AP55" i="1"/>
  <c r="AP52" i="1"/>
  <c r="AA52" i="1"/>
  <c r="AA55" i="1"/>
  <c r="BE55" i="1"/>
  <c r="BE52" i="1"/>
  <c r="BE11" i="20"/>
  <c r="AY14" i="20"/>
  <c r="BD12" i="20" s="1"/>
  <c r="BD14" i="20" s="1"/>
  <c r="BD15" i="20" s="1"/>
  <c r="AZ14" i="20" s="1"/>
  <c r="BE13" i="20"/>
  <c r="AX38" i="20"/>
  <c r="AY38" i="20" s="1"/>
  <c r="BB38" i="20"/>
  <c r="BC38" i="20" s="1"/>
  <c r="AX42" i="20"/>
  <c r="AY42" i="20" s="1"/>
  <c r="AZ42" i="20" s="1"/>
  <c r="AS55" i="1"/>
  <c r="AS52" i="1"/>
  <c r="U55" i="1"/>
  <c r="U52" i="1"/>
  <c r="AD55" i="1"/>
  <c r="AD52" i="1"/>
  <c r="AJ55" i="1"/>
  <c r="AJ52" i="1"/>
  <c r="AG55" i="1"/>
  <c r="AG52" i="1"/>
  <c r="Y16" i="1" l="1"/>
  <c r="M16" i="1"/>
  <c r="AH16" i="1"/>
  <c r="BC16" i="1"/>
  <c r="P16" i="1"/>
  <c r="AZ16" i="1"/>
  <c r="AT16" i="1"/>
  <c r="S16" i="1"/>
  <c r="AQ16" i="1"/>
  <c r="AB16" i="1"/>
  <c r="V16" i="1"/>
  <c r="AW16" i="1"/>
  <c r="AE16" i="1"/>
  <c r="AK16" i="1"/>
  <c r="AN16" i="1"/>
  <c r="BF16" i="1"/>
  <c r="AM25" i="20"/>
  <c r="AM28" i="20" s="1"/>
  <c r="J57" i="1" s="1"/>
  <c r="BF15" i="1"/>
  <c r="AT15" i="1"/>
  <c r="AW15" i="1"/>
  <c r="M15" i="1"/>
  <c r="AB15" i="1"/>
  <c r="AN15" i="1"/>
  <c r="AE15" i="1"/>
  <c r="BC15" i="1"/>
  <c r="P15" i="1"/>
  <c r="AH15" i="1"/>
  <c r="Y15" i="1"/>
  <c r="S15" i="1"/>
  <c r="AQ15" i="1"/>
  <c r="V15" i="1"/>
  <c r="AZ15" i="1"/>
  <c r="AN14" i="1"/>
  <c r="AW14" i="1"/>
  <c r="M14" i="1"/>
  <c r="AZ14" i="1"/>
  <c r="AQ14" i="1"/>
  <c r="P14" i="1"/>
  <c r="BF14" i="1"/>
  <c r="AE14" i="1"/>
  <c r="Y14" i="1"/>
  <c r="AT14" i="1"/>
  <c r="AB14" i="1"/>
  <c r="S14" i="1"/>
  <c r="AH14" i="1"/>
  <c r="V14" i="1"/>
  <c r="BC14" i="1"/>
  <c r="P13" i="1"/>
  <c r="S13" i="1"/>
  <c r="BF13" i="1"/>
  <c r="AN13" i="1"/>
  <c r="M13" i="1"/>
  <c r="AT13" i="1"/>
  <c r="Y13" i="1"/>
  <c r="AW13" i="1"/>
  <c r="AZ13" i="1"/>
  <c r="AK13" i="1"/>
  <c r="AE13" i="1"/>
  <c r="AB13" i="1"/>
  <c r="AH13" i="1"/>
  <c r="BC13" i="1"/>
  <c r="V13" i="1"/>
  <c r="AT12" i="1"/>
  <c r="AW12" i="1"/>
  <c r="AQ12" i="1"/>
  <c r="Y12" i="1"/>
  <c r="V12" i="1"/>
  <c r="BF12" i="1"/>
  <c r="AK12" i="1"/>
  <c r="AZ12" i="1"/>
  <c r="AH12" i="1"/>
  <c r="P12" i="1"/>
  <c r="AB12" i="1"/>
  <c r="BC12" i="1"/>
  <c r="M12" i="1"/>
  <c r="S12" i="1"/>
  <c r="AN12" i="1"/>
  <c r="AK11" i="1"/>
  <c r="AZ11" i="1"/>
  <c r="M11" i="1"/>
  <c r="AB11" i="1"/>
  <c r="AT11" i="1"/>
  <c r="Y11" i="1"/>
  <c r="S11" i="1"/>
  <c r="AQ11" i="1"/>
  <c r="AH11" i="1"/>
  <c r="BF11" i="1"/>
  <c r="AW11" i="1"/>
  <c r="AE11" i="1"/>
  <c r="V11" i="1"/>
  <c r="AN11" i="1"/>
  <c r="P11" i="1"/>
  <c r="AT10" i="1"/>
  <c r="V10" i="1"/>
  <c r="AB10" i="1"/>
  <c r="S10" i="1"/>
  <c r="AK10" i="1"/>
  <c r="BC10" i="1"/>
  <c r="AZ10" i="1"/>
  <c r="P10" i="1"/>
  <c r="AN10" i="1"/>
  <c r="Y10" i="1"/>
  <c r="BF10" i="1"/>
  <c r="AW10" i="1"/>
  <c r="M10" i="1"/>
  <c r="AE10" i="1"/>
  <c r="AH10" i="1"/>
  <c r="BH52" i="1"/>
  <c r="AZ38" i="20"/>
  <c r="AQ43" i="20" s="1"/>
  <c r="AM6" i="20" s="1"/>
  <c r="AM16" i="20" s="1"/>
  <c r="AM29" i="20" s="1"/>
  <c r="M66" i="1" s="1"/>
  <c r="M68" i="1" s="1"/>
  <c r="H44" i="29" s="1"/>
  <c r="BE10" i="20"/>
  <c r="BE12" i="20" s="1"/>
  <c r="BE14" i="20" s="1"/>
  <c r="AQ14" i="20" s="1"/>
  <c r="AM4" i="20" s="1"/>
  <c r="AM9" i="20" s="1"/>
  <c r="AM14" i="20" s="1"/>
  <c r="BI16" i="1" l="1"/>
  <c r="AM27" i="20"/>
  <c r="I57" i="1" s="1"/>
  <c r="AD56" i="1" s="1"/>
  <c r="AD61" i="1" s="1"/>
  <c r="E12" i="29" s="1"/>
  <c r="BI15" i="1"/>
  <c r="BI14" i="1"/>
  <c r="AQ52" i="1"/>
  <c r="BI13" i="1"/>
  <c r="BI12" i="1"/>
  <c r="AN55" i="1"/>
  <c r="AN56" i="1" s="1"/>
  <c r="AN61" i="1" s="1"/>
  <c r="H15" i="29" s="1"/>
  <c r="S55" i="1"/>
  <c r="S56" i="1" s="1"/>
  <c r="S61" i="1" s="1"/>
  <c r="H8" i="29" s="1"/>
  <c r="BI11" i="1"/>
  <c r="P52" i="1"/>
  <c r="AK55" i="1"/>
  <c r="AK56" i="1" s="1"/>
  <c r="AK61" i="1" s="1"/>
  <c r="H14" i="29" s="1"/>
  <c r="H25" i="29"/>
  <c r="AQ55" i="1"/>
  <c r="AQ56" i="1" s="1"/>
  <c r="AQ61" i="1" s="1"/>
  <c r="H16" i="29" s="1"/>
  <c r="AN52" i="1"/>
  <c r="AK52" i="1"/>
  <c r="S52" i="1"/>
  <c r="M55" i="1"/>
  <c r="Y55" i="1"/>
  <c r="Y56" i="1" s="1"/>
  <c r="Y61" i="1" s="1"/>
  <c r="H10" i="29" s="1"/>
  <c r="Y52" i="1"/>
  <c r="AZ55" i="1"/>
  <c r="AZ56" i="1" s="1"/>
  <c r="AZ61" i="1" s="1"/>
  <c r="H19" i="29" s="1"/>
  <c r="AZ52" i="1"/>
  <c r="BC52" i="1"/>
  <c r="BC55" i="1"/>
  <c r="BC56" i="1" s="1"/>
  <c r="BC61" i="1" s="1"/>
  <c r="H20" i="29" s="1"/>
  <c r="BI10" i="1"/>
  <c r="AH52" i="1"/>
  <c r="AH55" i="1"/>
  <c r="AH56" i="1" s="1"/>
  <c r="AH61" i="1" s="1"/>
  <c r="H13" i="29" s="1"/>
  <c r="AB55" i="1"/>
  <c r="AB56" i="1" s="1"/>
  <c r="AB61" i="1" s="1"/>
  <c r="H11" i="29" s="1"/>
  <c r="AB52" i="1"/>
  <c r="AE55" i="1"/>
  <c r="AE56" i="1" s="1"/>
  <c r="AE61" i="1" s="1"/>
  <c r="H12" i="29" s="1"/>
  <c r="AE52" i="1"/>
  <c r="V52" i="1"/>
  <c r="V55" i="1"/>
  <c r="V56" i="1" s="1"/>
  <c r="V61" i="1" s="1"/>
  <c r="H9" i="29" s="1"/>
  <c r="AT55" i="1"/>
  <c r="AT56" i="1" s="1"/>
  <c r="AT61" i="1" s="1"/>
  <c r="H17" i="29" s="1"/>
  <c r="AT52" i="1"/>
  <c r="P55" i="1"/>
  <c r="P56" i="1" s="1"/>
  <c r="P61" i="1" s="1"/>
  <c r="H7" i="29" s="1"/>
  <c r="AW52" i="1"/>
  <c r="AW55" i="1"/>
  <c r="AW56" i="1" s="1"/>
  <c r="AW61" i="1" s="1"/>
  <c r="H18" i="29" s="1"/>
  <c r="BF55" i="1"/>
  <c r="BF56" i="1" s="1"/>
  <c r="BF61" i="1" s="1"/>
  <c r="H21" i="29" s="1"/>
  <c r="BF52" i="1"/>
  <c r="AG56" i="1" l="1"/>
  <c r="AG61" i="1" s="1"/>
  <c r="E13" i="29" s="1"/>
  <c r="AS56" i="1"/>
  <c r="AS61" i="1" s="1"/>
  <c r="E17" i="29" s="1"/>
  <c r="O56" i="1"/>
  <c r="O61" i="1" s="1"/>
  <c r="E7" i="29" s="1"/>
  <c r="U56" i="1"/>
  <c r="U61" i="1" s="1"/>
  <c r="E9" i="29" s="1"/>
  <c r="X56" i="1"/>
  <c r="X61" i="1" s="1"/>
  <c r="E10" i="29" s="1"/>
  <c r="R56" i="1"/>
  <c r="R61" i="1" s="1"/>
  <c r="E8" i="29" s="1"/>
  <c r="AV56" i="1"/>
  <c r="AV61" i="1" s="1"/>
  <c r="E18" i="29" s="1"/>
  <c r="AY56" i="1"/>
  <c r="AY61" i="1" s="1"/>
  <c r="E19" i="29" s="1"/>
  <c r="BB56" i="1"/>
  <c r="BB61" i="1" s="1"/>
  <c r="E20" i="29" s="1"/>
  <c r="AA56" i="1"/>
  <c r="AA61" i="1" s="1"/>
  <c r="E11" i="29" s="1"/>
  <c r="BE56" i="1"/>
  <c r="BE61" i="1" s="1"/>
  <c r="E21" i="29" s="1"/>
  <c r="AP56" i="1"/>
  <c r="AP61" i="1" s="1"/>
  <c r="E16" i="29" s="1"/>
  <c r="AM56" i="1"/>
  <c r="AM61" i="1" s="1"/>
  <c r="E15" i="29" s="1"/>
  <c r="AJ56" i="1"/>
  <c r="AJ61" i="1" s="1"/>
  <c r="E14" i="29" s="1"/>
  <c r="L56" i="1"/>
  <c r="E40" i="29" s="1"/>
  <c r="H22" i="29"/>
  <c r="N22" i="29" s="1"/>
  <c r="M56" i="1"/>
  <c r="H40" i="29" s="1"/>
  <c r="BI52" i="1"/>
  <c r="M61" i="1" l="1"/>
  <c r="O6" i="29" s="1"/>
  <c r="P5" i="29" s="1"/>
  <c r="P6" i="29" s="1"/>
  <c r="J22" i="29" s="1"/>
  <c r="E22" i="29"/>
  <c r="M22" i="29" s="1"/>
  <c r="L61" i="1"/>
  <c r="E43" i="29" s="1"/>
  <c r="G29" i="29" s="1"/>
  <c r="N14" i="29"/>
  <c r="N21" i="29"/>
  <c r="N11" i="29"/>
  <c r="N12" i="29"/>
  <c r="N18" i="29"/>
  <c r="N20" i="29"/>
  <c r="N13" i="29"/>
  <c r="N19" i="29"/>
  <c r="N9" i="29"/>
  <c r="N7" i="29"/>
  <c r="N10" i="29"/>
  <c r="N16" i="29"/>
  <c r="N15" i="29"/>
  <c r="N17" i="29"/>
  <c r="N8" i="29"/>
  <c r="N74" i="30"/>
  <c r="J14" i="29" l="1"/>
  <c r="J19" i="29"/>
  <c r="J18" i="29"/>
  <c r="J11" i="29"/>
  <c r="J21" i="29"/>
  <c r="J16" i="29"/>
  <c r="J13" i="29"/>
  <c r="J12" i="29"/>
  <c r="J17" i="29"/>
  <c r="J10" i="29"/>
  <c r="J7" i="29"/>
  <c r="G22" i="29"/>
  <c r="J20" i="29"/>
  <c r="J8" i="29"/>
  <c r="J15" i="29"/>
  <c r="J9" i="29"/>
  <c r="H43" i="29"/>
  <c r="J42" i="29" s="1"/>
  <c r="M17" i="29"/>
  <c r="G17" i="29" s="1"/>
  <c r="M10" i="29"/>
  <c r="G10" i="29" s="1"/>
  <c r="M15" i="29"/>
  <c r="G15" i="29" s="1"/>
  <c r="M11" i="29"/>
  <c r="G11" i="29" s="1"/>
  <c r="M13" i="29"/>
  <c r="G13" i="29" s="1"/>
  <c r="M16" i="29"/>
  <c r="G16" i="29" s="1"/>
  <c r="K16" i="29" s="1"/>
  <c r="M19" i="29"/>
  <c r="G19" i="29" s="1"/>
  <c r="G25" i="29"/>
  <c r="G36" i="29"/>
  <c r="G31" i="29"/>
  <c r="G43" i="29"/>
  <c r="M7" i="29"/>
  <c r="G7" i="29" s="1"/>
  <c r="M8" i="29"/>
  <c r="G8" i="29" s="1"/>
  <c r="M18" i="29"/>
  <c r="G18" i="29" s="1"/>
  <c r="M20" i="29"/>
  <c r="G20" i="29" s="1"/>
  <c r="M14" i="29"/>
  <c r="G14" i="29" s="1"/>
  <c r="M21" i="29"/>
  <c r="G21" i="29" s="1"/>
  <c r="G38" i="29"/>
  <c r="M9" i="29"/>
  <c r="G9" i="29" s="1"/>
  <c r="G41" i="29"/>
  <c r="M12" i="29"/>
  <c r="G12" i="29" s="1"/>
  <c r="G37" i="29"/>
  <c r="G30" i="29"/>
  <c r="G34" i="29"/>
  <c r="G35" i="29"/>
  <c r="G28" i="29"/>
  <c r="G32" i="29"/>
  <c r="G40" i="29"/>
  <c r="G26" i="29"/>
  <c r="G27" i="29"/>
  <c r="G33" i="29"/>
  <c r="K12" i="29" l="1"/>
  <c r="K19" i="29"/>
  <c r="K20" i="29"/>
  <c r="J29" i="29"/>
  <c r="K17" i="29"/>
  <c r="J27" i="29"/>
  <c r="J26" i="29"/>
  <c r="J28" i="29"/>
  <c r="J38" i="29"/>
  <c r="K14" i="29"/>
  <c r="J37" i="29"/>
  <c r="J32" i="29"/>
  <c r="J39" i="29"/>
  <c r="J40" i="29"/>
  <c r="J43" i="29"/>
  <c r="K18" i="29"/>
  <c r="K8" i="29"/>
  <c r="J34" i="29"/>
  <c r="J33" i="29"/>
  <c r="K15" i="29"/>
  <c r="H45" i="29"/>
  <c r="J25" i="29"/>
  <c r="J41" i="29"/>
  <c r="K11" i="29"/>
  <c r="K7" i="29"/>
  <c r="K9" i="29"/>
  <c r="K21" i="29"/>
  <c r="K10" i="29"/>
  <c r="K13" i="29"/>
  <c r="J31" i="29"/>
</calcChain>
</file>

<file path=xl/sharedStrings.xml><?xml version="1.0" encoding="utf-8"?>
<sst xmlns="http://schemas.openxmlformats.org/spreadsheetml/2006/main" count="4480" uniqueCount="2808">
  <si>
    <t>Sault Ste. Marie AP</t>
  </si>
  <si>
    <t xml:space="preserve">Olean </t>
  </si>
  <si>
    <t>Sandusky CO</t>
  </si>
  <si>
    <t>Williamsport AP</t>
  </si>
  <si>
    <t>Houston AP</t>
  </si>
  <si>
    <t xml:space="preserve">Alaska, Bettles </t>
  </si>
  <si>
    <t>Montana</t>
  </si>
  <si>
    <t>Middleton Island</t>
  </si>
  <si>
    <t>Marysville, Beale AFB</t>
  </si>
  <si>
    <t xml:space="preserve">Sanford </t>
  </si>
  <si>
    <t>Quincy AP</t>
  </si>
  <si>
    <t>Seul Choix Point</t>
  </si>
  <si>
    <t xml:space="preserve">Oneonta </t>
  </si>
  <si>
    <t xml:space="preserve">Springfield </t>
  </si>
  <si>
    <t xml:space="preserve">York </t>
  </si>
  <si>
    <t>Houston, Hobby AP</t>
  </si>
  <si>
    <t>Alaska, Big Delta, Ft. Greely</t>
  </si>
  <si>
    <t>Nebraska</t>
  </si>
  <si>
    <t xml:space="preserve">Nenana </t>
  </si>
  <si>
    <t>Merced-Castle AFB</t>
  </si>
  <si>
    <t xml:space="preserve">Sarasota/Bradenton </t>
  </si>
  <si>
    <t>Rantoul, Chanute AFB</t>
  </si>
  <si>
    <t>Traverse City AP</t>
  </si>
  <si>
    <t>Oswego CO</t>
  </si>
  <si>
    <t xml:space="preserve">Stubenville </t>
  </si>
  <si>
    <t xml:space="preserve">Huntsville </t>
  </si>
  <si>
    <t>Alaska, Cold Bay</t>
  </si>
  <si>
    <t>Nevada</t>
  </si>
  <si>
    <t>Nome AP</t>
  </si>
  <si>
    <t xml:space="preserve">Modesto </t>
  </si>
  <si>
    <t>Tallahassee AP</t>
  </si>
  <si>
    <t xml:space="preserve">Rockford </t>
  </si>
  <si>
    <t xml:space="preserve">Yipsilanti </t>
  </si>
  <si>
    <t>Plattsburg AFB</t>
  </si>
  <si>
    <t>Toledo AP</t>
  </si>
  <si>
    <t xml:space="preserve">Junction </t>
  </si>
  <si>
    <t xml:space="preserve">Alaska, Cordova </t>
  </si>
  <si>
    <t>New Hampshire</t>
  </si>
  <si>
    <t xml:space="preserve">Northway </t>
  </si>
  <si>
    <t xml:space="preserve">Monterey </t>
  </si>
  <si>
    <t>Tampa AP</t>
  </si>
  <si>
    <t xml:space="preserve">Poughkeepsie </t>
  </si>
  <si>
    <t>Killeen-Gray AFB</t>
  </si>
  <si>
    <t xml:space="preserve">Alaska, Deadhorse </t>
  </si>
  <si>
    <t>New Jersey</t>
  </si>
  <si>
    <t>Port Heiden</t>
  </si>
  <si>
    <t>Mount Shasta</t>
  </si>
  <si>
    <t>Valpariso, Eglin AFB</t>
  </si>
  <si>
    <t xml:space="preserve">Waukegan </t>
  </si>
  <si>
    <t xml:space="preserve">Wooster </t>
  </si>
  <si>
    <t>Kingsville, NAS</t>
  </si>
  <si>
    <t xml:space="preserve">Alaska, Dillingham </t>
  </si>
  <si>
    <t>New Mexico</t>
  </si>
  <si>
    <t>Saint Paul Island</t>
  </si>
  <si>
    <t>Mountain View, Moffet NAS</t>
  </si>
  <si>
    <t>Vero Beach</t>
  </si>
  <si>
    <t>West Chicago</t>
  </si>
  <si>
    <t>Rome-Griffiss AFB</t>
  </si>
  <si>
    <t>Youngstown AP</t>
  </si>
  <si>
    <t xml:space="preserve">Lamesa </t>
  </si>
  <si>
    <t>Alaska, Fairbanks IAP</t>
  </si>
  <si>
    <t>New York</t>
  </si>
  <si>
    <t xml:space="preserve">Sitka </t>
  </si>
  <si>
    <t xml:space="preserve">Napa </t>
  </si>
  <si>
    <t>West Palm Beach AP</t>
  </si>
  <si>
    <t xml:space="preserve">Schenectady </t>
  </si>
  <si>
    <t>Zanesville AP</t>
  </si>
  <si>
    <t>Laredo AFB</t>
  </si>
  <si>
    <t>Alaska, Fairbanks, Eielson AFB</t>
  </si>
  <si>
    <t>North Carolina</t>
  </si>
  <si>
    <t xml:space="preserve">Talkeetna </t>
  </si>
  <si>
    <t>Needles AP</t>
  </si>
  <si>
    <t>Suffolk County AFB</t>
  </si>
  <si>
    <t>Longview 365</t>
  </si>
  <si>
    <t xml:space="preserve">Alaska, Galena </t>
  </si>
  <si>
    <t>North Dakota</t>
  </si>
  <si>
    <t xml:space="preserve">Valdez </t>
  </si>
  <si>
    <t>Oakland AP</t>
  </si>
  <si>
    <t>Syracuse AP</t>
  </si>
  <si>
    <t>Lubbock AP</t>
  </si>
  <si>
    <t xml:space="preserve">Alaska, Gulkana </t>
  </si>
  <si>
    <t>Ohio</t>
  </si>
  <si>
    <t xml:space="preserve">Yakutat </t>
  </si>
  <si>
    <t xml:space="preserve">Oceanside </t>
  </si>
  <si>
    <t xml:space="preserve">Utica </t>
  </si>
  <si>
    <t>Lubbock, Reese AFB</t>
  </si>
  <si>
    <t xml:space="preserve">Alaska, Homer </t>
  </si>
  <si>
    <t>Oklahoma</t>
  </si>
  <si>
    <t>Ontario IAP</t>
  </si>
  <si>
    <t xml:space="preserve">Watertown </t>
  </si>
  <si>
    <t>Lufkin AP</t>
  </si>
  <si>
    <t>Alaska, Juneau IAP</t>
  </si>
  <si>
    <t>Oregon</t>
  </si>
  <si>
    <t xml:space="preserve">Oxnard </t>
  </si>
  <si>
    <t>White Plains</t>
  </si>
  <si>
    <t xml:space="preserve">Marfa </t>
  </si>
  <si>
    <t xml:space="preserve">Alaska, Kenai </t>
  </si>
  <si>
    <t>Pennsylvania</t>
  </si>
  <si>
    <t>Palmdale AP</t>
  </si>
  <si>
    <t xml:space="preserve">McAllen </t>
  </si>
  <si>
    <t>Alaska, Ketchikan IAP</t>
  </si>
  <si>
    <t>Rhode Island</t>
  </si>
  <si>
    <t>Palm Springs</t>
  </si>
  <si>
    <t>Midland AP</t>
  </si>
  <si>
    <t>Alaska, King Salmon</t>
  </si>
  <si>
    <t>South Carolina</t>
  </si>
  <si>
    <t xml:space="preserve">Pasadena </t>
  </si>
  <si>
    <t>Mineral Wells AP</t>
  </si>
  <si>
    <t xml:space="preserve">Alaska, Kodiak </t>
  </si>
  <si>
    <t>South Dakota</t>
  </si>
  <si>
    <t>Paso Robles</t>
  </si>
  <si>
    <t>Palestine CO</t>
  </si>
  <si>
    <t xml:space="preserve">Alaska, Kotzebue </t>
  </si>
  <si>
    <t>Tennessee</t>
  </si>
  <si>
    <t xml:space="preserve">Petaluma </t>
  </si>
  <si>
    <t xml:space="preserve">Pampa </t>
  </si>
  <si>
    <t xml:space="preserve">Alaska, McGrath </t>
  </si>
  <si>
    <t>Texas</t>
  </si>
  <si>
    <t>Pomona CO</t>
  </si>
  <si>
    <t xml:space="preserve">Pecos </t>
  </si>
  <si>
    <t>Alaska, Middleton Island</t>
  </si>
  <si>
    <t>Utah</t>
  </si>
  <si>
    <t>Red Bluff</t>
  </si>
  <si>
    <t xml:space="preserve">Plainview </t>
  </si>
  <si>
    <t xml:space="preserve">Alaska, Nenana </t>
  </si>
  <si>
    <t>Vermont</t>
  </si>
  <si>
    <t>Redding AP</t>
  </si>
  <si>
    <t>Port Arthur AP</t>
  </si>
  <si>
    <t>Alaska, Nome AP</t>
  </si>
  <si>
    <t>Virginia</t>
  </si>
  <si>
    <t xml:space="preserve">Redlands </t>
  </si>
  <si>
    <t>San Angelo, Goodfellow AFB</t>
  </si>
  <si>
    <t xml:space="preserve">Alaska, Northway </t>
  </si>
  <si>
    <t>Washington</t>
  </si>
  <si>
    <t xml:space="preserve">Richmond </t>
  </si>
  <si>
    <t>San Antonio AP</t>
  </si>
  <si>
    <t>Alaska, Port Heiden</t>
  </si>
  <si>
    <t>West Virginia</t>
  </si>
  <si>
    <t>Riverside-March AFB</t>
  </si>
  <si>
    <t>San Antonio, Kelly AFB</t>
  </si>
  <si>
    <t>Alaska, Saint Paul Island</t>
  </si>
  <si>
    <t>Wisconsin</t>
  </si>
  <si>
    <t>Sacramento AP</t>
  </si>
  <si>
    <t>San Antonio, Randolph AFB</t>
  </si>
  <si>
    <t xml:space="preserve">Alaska, Sitka </t>
  </si>
  <si>
    <t>Wyoming</t>
  </si>
  <si>
    <t>Sacramento, McClellan AFB</t>
  </si>
  <si>
    <t xml:space="preserve">Sanderson </t>
  </si>
  <si>
    <t xml:space="preserve">Alaska, Talkeetna </t>
  </si>
  <si>
    <t>Sacramento, Metro</t>
  </si>
  <si>
    <t>Sherman-Perrin AFB</t>
  </si>
  <si>
    <t xml:space="preserve">Alaska, Valdez </t>
  </si>
  <si>
    <t>Salinas AP</t>
  </si>
  <si>
    <t xml:space="preserve">Snyder </t>
  </si>
  <si>
    <t xml:space="preserve">Alaska, Yakutat </t>
  </si>
  <si>
    <t>San Bernadino, Norton AFB</t>
  </si>
  <si>
    <t xml:space="preserve">Temple </t>
  </si>
  <si>
    <t>Arizona, Douglas AP</t>
  </si>
  <si>
    <t>San Diego AP</t>
  </si>
  <si>
    <t>Tyler AP</t>
  </si>
  <si>
    <t>Arizona, Flagstaff Ap</t>
  </si>
  <si>
    <t>San Diego, Miramar NAS</t>
  </si>
  <si>
    <t xml:space="preserve">Vernon </t>
  </si>
  <si>
    <t>Arizona, Fort Huachuca AP</t>
  </si>
  <si>
    <t>San Fernando</t>
  </si>
  <si>
    <t>Victoria AP</t>
  </si>
  <si>
    <t>Arizona, Kingman AP</t>
  </si>
  <si>
    <t>San Francisco AP</t>
  </si>
  <si>
    <t>Waco AP</t>
  </si>
  <si>
    <t xml:space="preserve">Arizona, Nogalas </t>
  </si>
  <si>
    <t>San Francisco CO</t>
  </si>
  <si>
    <t>Wichita Falls AP</t>
  </si>
  <si>
    <t xml:space="preserve">Arizona, Page </t>
  </si>
  <si>
    <t>San Jose AP</t>
  </si>
  <si>
    <t>Arizona, Phoenix AP</t>
  </si>
  <si>
    <t>San Luis Obispo</t>
  </si>
  <si>
    <t>Arizona, Phoenix, Luke AFB</t>
  </si>
  <si>
    <t>Santa Ana AP</t>
  </si>
  <si>
    <t>Arizona, Prescott AP</t>
  </si>
  <si>
    <t>Santa Barbara AP</t>
  </si>
  <si>
    <t>Arizona, Safford, Agri. Center</t>
  </si>
  <si>
    <t>Santa Cruz</t>
  </si>
  <si>
    <t>Arizona, Tuscon Ap</t>
  </si>
  <si>
    <t>Santa Maria AP</t>
  </si>
  <si>
    <t>Arizona, Winslow AP</t>
  </si>
  <si>
    <t>Santa Monica CO</t>
  </si>
  <si>
    <t>Arizona, Yuma AP</t>
  </si>
  <si>
    <t>Santa Paula</t>
  </si>
  <si>
    <t>Arkansas, Blytheville AFB</t>
  </si>
  <si>
    <t>Santa Rosa</t>
  </si>
  <si>
    <t xml:space="preserve">Arkansas, Camden </t>
  </si>
  <si>
    <t>Stockton AP</t>
  </si>
  <si>
    <t>Arkansas, El Dorado AP</t>
  </si>
  <si>
    <t xml:space="preserve">Ukiah </t>
  </si>
  <si>
    <t>Arkansas, Fayetteville AP</t>
  </si>
  <si>
    <t>Victorville, George AFB</t>
  </si>
  <si>
    <t>Arkansas, Fort Smith AP</t>
  </si>
  <si>
    <t xml:space="preserve">Visalia </t>
  </si>
  <si>
    <t>Arkansas, Hot Springs</t>
  </si>
  <si>
    <t xml:space="preserve">Yreka </t>
  </si>
  <si>
    <t>Yuba City</t>
  </si>
  <si>
    <t>Arkansas, Little Rock AP</t>
  </si>
  <si>
    <t>Arkansas, Pine Bluff AP</t>
  </si>
  <si>
    <t>Arkansas, Texarkana AP</t>
  </si>
  <si>
    <t>California, Alameda, NAS</t>
  </si>
  <si>
    <t>California, Bakersfield AP</t>
  </si>
  <si>
    <t xml:space="preserve">California, Barstow </t>
  </si>
  <si>
    <t>California, Blue Canyon</t>
  </si>
  <si>
    <t>California, Blythe AP</t>
  </si>
  <si>
    <t>California, Burbank AP</t>
  </si>
  <si>
    <t xml:space="preserve">California, Chico </t>
  </si>
  <si>
    <t xml:space="preserve">California, Concord </t>
  </si>
  <si>
    <t xml:space="preserve">California, Covina </t>
  </si>
  <si>
    <t>California, Crescent City AP</t>
  </si>
  <si>
    <t xml:space="preserve">California, Downey </t>
  </si>
  <si>
    <t>California, El Cajon</t>
  </si>
  <si>
    <t>California, El Centro AP</t>
  </si>
  <si>
    <t xml:space="preserve">California, Escondido </t>
  </si>
  <si>
    <t>California, Eureaka/Arcata AP</t>
  </si>
  <si>
    <t>California, Fairfield-Travis AFB</t>
  </si>
  <si>
    <t>California, Fresno AP</t>
  </si>
  <si>
    <t>California, Hamiltion AFB</t>
  </si>
  <si>
    <t>California, Laguna Beach</t>
  </si>
  <si>
    <t>California, Lemoore, Reeves NAS</t>
  </si>
  <si>
    <t>California, Lompoc, Vandenburg AFB</t>
  </si>
  <si>
    <t>California, Long Beach AP</t>
  </si>
  <si>
    <t>California, Los Angeles AP</t>
  </si>
  <si>
    <t>California, Los Angeles CO</t>
  </si>
  <si>
    <t>California, Marysville, Beale AFB</t>
  </si>
  <si>
    <t>California, Merced-Castle AFB</t>
  </si>
  <si>
    <t xml:space="preserve">California, Modesto </t>
  </si>
  <si>
    <t xml:space="preserve">California, Monterey </t>
  </si>
  <si>
    <t>California, Mount Shasta</t>
  </si>
  <si>
    <t>California, Mountain View, Moffet NAS</t>
  </si>
  <si>
    <t xml:space="preserve">California, Napa </t>
  </si>
  <si>
    <t>California, Needles AP</t>
  </si>
  <si>
    <t>California, Oakland AP</t>
  </si>
  <si>
    <t xml:space="preserve">California, Oceanside </t>
  </si>
  <si>
    <t>California, Ontario IAP</t>
  </si>
  <si>
    <t xml:space="preserve">California, Oxnard </t>
  </si>
  <si>
    <t>California, Palmdale AP</t>
  </si>
  <si>
    <t>California, Palm Springs</t>
  </si>
  <si>
    <t xml:space="preserve">California, Pasadena </t>
  </si>
  <si>
    <t>California, Paso Robles</t>
  </si>
  <si>
    <t xml:space="preserve">California, Petaluma </t>
  </si>
  <si>
    <t>California, Pomona CO</t>
  </si>
  <si>
    <t>California, Red Bluff</t>
  </si>
  <si>
    <t>California, Redding AP</t>
  </si>
  <si>
    <t xml:space="preserve">California, Redlands </t>
  </si>
  <si>
    <t xml:space="preserve">California, Richmond </t>
  </si>
  <si>
    <t>California, Riverside-March AFB</t>
  </si>
  <si>
    <t>California, Sacramento AP</t>
  </si>
  <si>
    <t>California, Sacramento, McClellan AFB</t>
  </si>
  <si>
    <t>California, Sacramento, Metro</t>
  </si>
  <si>
    <t>California, Salinas AP</t>
  </si>
  <si>
    <t>California, San Bernadino, Norton AFB</t>
  </si>
  <si>
    <t>California, San Diego AP</t>
  </si>
  <si>
    <t>California, San Diego, Miramar NAS</t>
  </si>
  <si>
    <t>California, San Fernando</t>
  </si>
  <si>
    <t>California, San Francisco AP</t>
  </si>
  <si>
    <t>California, San Francisco CO</t>
  </si>
  <si>
    <t>California, San Jose AP</t>
  </si>
  <si>
    <t>California, San Luis Obispo</t>
  </si>
  <si>
    <t>California, Santa Ana AP</t>
  </si>
  <si>
    <t>California, Santa Barbara AP</t>
  </si>
  <si>
    <t>California, Santa Cruz</t>
  </si>
  <si>
    <t>California, Santa Maria AP</t>
  </si>
  <si>
    <t>California, Santa Monica CO</t>
  </si>
  <si>
    <t>California, Santa Paula</t>
  </si>
  <si>
    <t>California, Santa Rosa</t>
  </si>
  <si>
    <t>California, Stockton AP</t>
  </si>
  <si>
    <t xml:space="preserve">California, Ukiah </t>
  </si>
  <si>
    <t>California, Victorville, George AFB</t>
  </si>
  <si>
    <t xml:space="preserve">California, Visalia </t>
  </si>
  <si>
    <t xml:space="preserve">California, Yreka </t>
  </si>
  <si>
    <t>California, Yuba City</t>
  </si>
  <si>
    <t>Colorado, Alamosa AP</t>
  </si>
  <si>
    <t xml:space="preserve">Colorado, Boulder </t>
  </si>
  <si>
    <t>Colorado, Colarado Springs AP</t>
  </si>
  <si>
    <t xml:space="preserve">Colorado, Craig </t>
  </si>
  <si>
    <t>Colorado, Denver AP</t>
  </si>
  <si>
    <t xml:space="preserve">Colorado, Durango </t>
  </si>
  <si>
    <t xml:space="preserve">Colorado, Eagle </t>
  </si>
  <si>
    <t>Colorado, Fort Collins</t>
  </si>
  <si>
    <t>Colorado, Grand Junction AP</t>
  </si>
  <si>
    <t xml:space="preserve">Colorado, Greeley </t>
  </si>
  <si>
    <t>Colorado, LaJunta AP</t>
  </si>
  <si>
    <t xml:space="preserve">Colorado, Leadville </t>
  </si>
  <si>
    <t xml:space="preserve">Colorado, Limon </t>
  </si>
  <si>
    <t>Colorado, Pueblo AP</t>
  </si>
  <si>
    <t xml:space="preserve">Colorado, Sterling </t>
  </si>
  <si>
    <t>Colorado, Trinidad AP</t>
  </si>
  <si>
    <t>Connecticut, Bridgeport AP</t>
  </si>
  <si>
    <t>Connecticut, Hartford, Brainard Field</t>
  </si>
  <si>
    <t>Connecticut, New Haven AP</t>
  </si>
  <si>
    <t>Connecticut, New London</t>
  </si>
  <si>
    <t xml:space="preserve">Connecticut, Norwalk </t>
  </si>
  <si>
    <t xml:space="preserve">Connecticut, Norwich </t>
  </si>
  <si>
    <t xml:space="preserve">Connecticut, Waterbury </t>
  </si>
  <si>
    <t>Connecticut, Windsor Locks, Bradlet Field</t>
  </si>
  <si>
    <t>Delaware, Dover AFB</t>
  </si>
  <si>
    <t>Delaware, Wilmington AP</t>
  </si>
  <si>
    <t xml:space="preserve">Florida, Apalachicola </t>
  </si>
  <si>
    <t>Florida, Belle Glade</t>
  </si>
  <si>
    <t>Florida, Cape Kennedy AP</t>
  </si>
  <si>
    <t>Florida, Daytona Beach AP</t>
  </si>
  <si>
    <t>Florida, Fort Lauderdale</t>
  </si>
  <si>
    <t>Florida, Fort Myers AP</t>
  </si>
  <si>
    <t>Florida, Fort Pierce</t>
  </si>
  <si>
    <t>Florida, Gainsville AP</t>
  </si>
  <si>
    <t>Florida, Homestead, AFB</t>
  </si>
  <si>
    <t>Florida, Jacksonville AP</t>
  </si>
  <si>
    <t>Florida, Jacksonville/Cecil Field NAS</t>
  </si>
  <si>
    <t>Florida, Jacksonville, Mayport Naval</t>
  </si>
  <si>
    <t>Florida, Key West AP</t>
  </si>
  <si>
    <t>Florida, Lakeland CO</t>
  </si>
  <si>
    <t xml:space="preserve">Florida, Melbourne </t>
  </si>
  <si>
    <t>Florida, Miami AP</t>
  </si>
  <si>
    <t>Florida, Miami  CO</t>
  </si>
  <si>
    <t>Florida, Miami, New Tamiami AP</t>
  </si>
  <si>
    <t>Florida, Milton, Whiting Field NAS</t>
  </si>
  <si>
    <t xml:space="preserve">Florida, Ocala </t>
  </si>
  <si>
    <t>Florida, Orlando AP</t>
  </si>
  <si>
    <t>Florida, Panama City, Tyndall AFB</t>
  </si>
  <si>
    <t>Florida, Pensacola CO</t>
  </si>
  <si>
    <t>Florida, St. Augustine</t>
  </si>
  <si>
    <t>Florida, St. Petersburg</t>
  </si>
  <si>
    <t xml:space="preserve">Florida, Sanford </t>
  </si>
  <si>
    <t xml:space="preserve">Florida, Sarasota/Bradenton </t>
  </si>
  <si>
    <t>Florida, Tallahassee AP</t>
  </si>
  <si>
    <t>Florida, Tampa AP</t>
  </si>
  <si>
    <t>Florida, Valpariso, Eglin AFB</t>
  </si>
  <si>
    <t>Florida, Vero Beach</t>
  </si>
  <si>
    <t>Florida, West Palm Beach AP</t>
  </si>
  <si>
    <t xml:space="preserve">Georgia, Americus </t>
  </si>
  <si>
    <t xml:space="preserve">Georgia, Athens </t>
  </si>
  <si>
    <t>Georgia, Atlanta AP</t>
  </si>
  <si>
    <t>Georgia, Augusta AP</t>
  </si>
  <si>
    <t xml:space="preserve">Georgia, Brunswick </t>
  </si>
  <si>
    <t>Georgia, Columbus, Fort Benning</t>
  </si>
  <si>
    <t>Georgia, Columbus, Lawson AFB</t>
  </si>
  <si>
    <t>Georgia, Columbus, Metro AP</t>
  </si>
  <si>
    <t xml:space="preserve">Georgia, Dalton </t>
  </si>
  <si>
    <t xml:space="preserve">Georgia, Dublin </t>
  </si>
  <si>
    <t xml:space="preserve">Georgia, Gainesville </t>
  </si>
  <si>
    <t xml:space="preserve">Georgia, Griffin </t>
  </si>
  <si>
    <t>Georgia, La Grange</t>
  </si>
  <si>
    <t>Georgia, Macon AP</t>
  </si>
  <si>
    <t>Georgia, Marietta, Dobbins AFB</t>
  </si>
  <si>
    <t xml:space="preserve">Georgia, Moultrie </t>
  </si>
  <si>
    <t>Georgia, Rome AP</t>
  </si>
  <si>
    <t>Georgia, Savannah, Travis AP</t>
  </si>
  <si>
    <t>Georgia, Valdosta, Moody AFB</t>
  </si>
  <si>
    <t>Georgia, Valdosta, Regional AP</t>
  </si>
  <si>
    <t xml:space="preserve">Georgia, Waycross </t>
  </si>
  <si>
    <t>Hawaii, Ewa, Barbers Point NAS</t>
  </si>
  <si>
    <t>Hawaii, Hilo AP</t>
  </si>
  <si>
    <t>Hawaii, Honolulu AP</t>
  </si>
  <si>
    <t xml:space="preserve">Hawaii, Kahului </t>
  </si>
  <si>
    <t>Hawaii, Kaneohe Bay MCAS</t>
  </si>
  <si>
    <t xml:space="preserve">Hawaii, Lihue </t>
  </si>
  <si>
    <t xml:space="preserve">Hawaii, Molokai </t>
  </si>
  <si>
    <t xml:space="preserve">Hawaii, Wahaiwa </t>
  </si>
  <si>
    <t>Idaho, Boise AP</t>
  </si>
  <si>
    <t xml:space="preserve">Idaho, Burley </t>
  </si>
  <si>
    <t>Idaho, Coeur D’Alene AP</t>
  </si>
  <si>
    <t>Idaho, Idaho Falls AP</t>
  </si>
  <si>
    <t xml:space="preserve">Idaho, Kamiah </t>
  </si>
  <si>
    <t>Idaho, Lewiston AP</t>
  </si>
  <si>
    <t xml:space="preserve">Idaho, Moscow </t>
  </si>
  <si>
    <t>Idaho, Mountain Home AFB</t>
  </si>
  <si>
    <t xml:space="preserve">Idaho, Mullan </t>
  </si>
  <si>
    <t>Idaho, Pocatello AP</t>
  </si>
  <si>
    <t>Idaho, Twin Falls AP</t>
  </si>
  <si>
    <t xml:space="preserve">Illinois, Aurora </t>
  </si>
  <si>
    <t>Illinois, Belleville, Scott AFB</t>
  </si>
  <si>
    <t xml:space="preserve">Illinois, Bloomington </t>
  </si>
  <si>
    <t xml:space="preserve">Illinois, Carbondale </t>
  </si>
  <si>
    <t xml:space="preserve">Illinois, Champaign/Urbana </t>
  </si>
  <si>
    <t>Illinois, Chicago, Meigs Field</t>
  </si>
  <si>
    <t>Illinois, Chicago, Midway AP</t>
  </si>
  <si>
    <t>Illinois, Chicago, O’Hare AP</t>
  </si>
  <si>
    <t>Illinois, Chicago CO</t>
  </si>
  <si>
    <t xml:space="preserve">Illinois, Danville </t>
  </si>
  <si>
    <t xml:space="preserve">Illinois, Decatur </t>
  </si>
  <si>
    <t xml:space="preserve">Illinois, Dixon </t>
  </si>
  <si>
    <t xml:space="preserve">Illinois, Elgin </t>
  </si>
  <si>
    <t xml:space="preserve">Illinois, Freeport </t>
  </si>
  <si>
    <t xml:space="preserve">Illinois, Galesburg </t>
  </si>
  <si>
    <t>Illinois, Glenview, NAS</t>
  </si>
  <si>
    <t xml:space="preserve">Illinois, Greenville </t>
  </si>
  <si>
    <t xml:space="preserve">Illinois, Joliet </t>
  </si>
  <si>
    <t xml:space="preserve">Illinois, Kankakee </t>
  </si>
  <si>
    <t xml:space="preserve">Illinois, LaSalle/Peru </t>
  </si>
  <si>
    <t xml:space="preserve">Illinois, Macomb </t>
  </si>
  <si>
    <t xml:space="preserve">Illinois, Marseilles </t>
  </si>
  <si>
    <t>Illinois, Moline, Davenport AP</t>
  </si>
  <si>
    <t>Illinois, Mt. Vernon</t>
  </si>
  <si>
    <t>Illinois, Peoria AP</t>
  </si>
  <si>
    <t>Illinois, Quincy AP</t>
  </si>
  <si>
    <t>Illinois, Rantoul, Chanute AFB</t>
  </si>
  <si>
    <t xml:space="preserve">Illinois, Rockford </t>
  </si>
  <si>
    <t>Illinois, Springfield AP</t>
  </si>
  <si>
    <t xml:space="preserve">Illinois, Waukegan </t>
  </si>
  <si>
    <t>Illinois, West Chicago</t>
  </si>
  <si>
    <t xml:space="preserve">Indiana, Anderson </t>
  </si>
  <si>
    <t xml:space="preserve">Indiana, Bedford </t>
  </si>
  <si>
    <t xml:space="preserve">Indiana, Bloomington </t>
  </si>
  <si>
    <t>Indiana, Columbus, Bakalar AFB</t>
  </si>
  <si>
    <t xml:space="preserve">Indiana, Crawfordsville </t>
  </si>
  <si>
    <t>Indiana, Evansville AP</t>
  </si>
  <si>
    <t>Indiana, Fort Wayne AP</t>
  </si>
  <si>
    <t>Indiana, Goshen AP</t>
  </si>
  <si>
    <t xml:space="preserve">Indiana, Hobart </t>
  </si>
  <si>
    <t xml:space="preserve">Indiana, Huntington </t>
  </si>
  <si>
    <t>Indiana, Indianapolis AP (S)</t>
  </si>
  <si>
    <t xml:space="preserve">Indiana, Jeffersonville </t>
  </si>
  <si>
    <t xml:space="preserve">Indiana, Kokoma </t>
  </si>
  <si>
    <t xml:space="preserve">Indiana, Layfayette </t>
  </si>
  <si>
    <t xml:space="preserve">Indiana, LaPorte </t>
  </si>
  <si>
    <t xml:space="preserve">Indiana, Marion </t>
  </si>
  <si>
    <t xml:space="preserve">Indiana, Muncie </t>
  </si>
  <si>
    <t>Indiana, Peru, Bunker Hill AFB</t>
  </si>
  <si>
    <t>Indiana, Peru, Grsssom AFB</t>
  </si>
  <si>
    <t>Indiana, Richmond AP</t>
  </si>
  <si>
    <t xml:space="preserve">Indiana, Shelbyville </t>
  </si>
  <si>
    <t>Indiana, South Bend AP</t>
  </si>
  <si>
    <t>Indiana, Terre Haute AP</t>
  </si>
  <si>
    <t xml:space="preserve">Indiana, Valparaiso </t>
  </si>
  <si>
    <t xml:space="preserve">Indiana, Vincennes </t>
  </si>
  <si>
    <t xml:space="preserve">Iowa, Ames </t>
  </si>
  <si>
    <t>Iowa, Burlington AP</t>
  </si>
  <si>
    <t>Iowa, Cedar Rapids AP</t>
  </si>
  <si>
    <t xml:space="preserve">Iowa, Clinton </t>
  </si>
  <si>
    <t>Iowa, Council Bluffs</t>
  </si>
  <si>
    <t>Iowa, Des Moines AP</t>
  </si>
  <si>
    <t xml:space="preserve">Iowa, Debuque </t>
  </si>
  <si>
    <t>Iowa, Fort Dodge</t>
  </si>
  <si>
    <t>Iowa, Iowa City</t>
  </si>
  <si>
    <t xml:space="preserve">Iowa, Keokuk </t>
  </si>
  <si>
    <t xml:space="preserve">Iowa, Lamoni </t>
  </si>
  <si>
    <t xml:space="preserve">Iowa, Marshalltown </t>
  </si>
  <si>
    <t>Iowa, Mason City AP</t>
  </si>
  <si>
    <t xml:space="preserve">Iowa, Newton </t>
  </si>
  <si>
    <t>Iowa, Ottumwa AP</t>
  </si>
  <si>
    <t>Iowa, Sioux City AP</t>
  </si>
  <si>
    <t xml:space="preserve">Iowa, Spencer </t>
  </si>
  <si>
    <t xml:space="preserve">Iowa, Waterloo </t>
  </si>
  <si>
    <t xml:space="preserve">Kansas, Atchison </t>
  </si>
  <si>
    <t>Kansas, Chante AP</t>
  </si>
  <si>
    <t xml:space="preserve">Kansas, Concordia </t>
  </si>
  <si>
    <t>Kansas, Dodge City AP</t>
  </si>
  <si>
    <t>Kansas, El Dorado</t>
  </si>
  <si>
    <t xml:space="preserve">Kansas, Emporia </t>
  </si>
  <si>
    <t>Kansas, Garden City AP</t>
  </si>
  <si>
    <t>Kansas, Goodland AP</t>
  </si>
  <si>
    <t>Kansas, Great Bend</t>
  </si>
  <si>
    <t>Kansas, Hutchinson AP</t>
  </si>
  <si>
    <t xml:space="preserve">Kansas, Liberal </t>
  </si>
  <si>
    <t>Kansas, Manhattan, Fort Riley</t>
  </si>
  <si>
    <t xml:space="preserve">Kansas, Parsons </t>
  </si>
  <si>
    <t>Kansas, Russel AP</t>
  </si>
  <si>
    <t xml:space="preserve">Kansas, Salina </t>
  </si>
  <si>
    <t>Kansas, Topeka AP</t>
  </si>
  <si>
    <t>Kansas, Wichita AP</t>
  </si>
  <si>
    <t>Kansas, Wichita, McConnell AFB</t>
  </si>
  <si>
    <t xml:space="preserve">Kentucky, Ashland </t>
  </si>
  <si>
    <t>Kentucky, Bowling Green AP</t>
  </si>
  <si>
    <t>Kentucky, Corbin AP</t>
  </si>
  <si>
    <t>Kentucky, Covington AP</t>
  </si>
  <si>
    <t>Kentucky, Fort Knox, Godman AAF</t>
  </si>
  <si>
    <t>Kentucky, Hopkinsville, Campbell AFB</t>
  </si>
  <si>
    <t xml:space="preserve">Kentucky, Jackson </t>
  </si>
  <si>
    <t>Kentucky, Lexington AP</t>
  </si>
  <si>
    <t>Kentucky, Louisville AP</t>
  </si>
  <si>
    <t xml:space="preserve">Kentucky, Madisonville </t>
  </si>
  <si>
    <t xml:space="preserve">Kentucky, Owensboro </t>
  </si>
  <si>
    <t>Kentucky, Paducah AP</t>
  </si>
  <si>
    <t>Louisiana, Alexandria AP</t>
  </si>
  <si>
    <t>Louisiana, Baton Rouge AP</t>
  </si>
  <si>
    <t xml:space="preserve">Louisiana, Bogalusa </t>
  </si>
  <si>
    <t>Louisiana, Bossier City, Barksdale AFB</t>
  </si>
  <si>
    <t xml:space="preserve">Louisiana, Houma </t>
  </si>
  <si>
    <t>Louisiana, Lafayette AP</t>
  </si>
  <si>
    <t>Louisiana, Lake Charles AP</t>
  </si>
  <si>
    <t>Louisiana, Leesville, Fort Polk</t>
  </si>
  <si>
    <t xml:space="preserve">Louisiana, Minden </t>
  </si>
  <si>
    <t>Louisiana, Monroe AP</t>
  </si>
  <si>
    <t xml:space="preserve">Louisiana, Natchitoches </t>
  </si>
  <si>
    <t>Louisiana, New Orleans AP</t>
  </si>
  <si>
    <t>Louisiana, New Orleans, Lakefront AP</t>
  </si>
  <si>
    <t>Louisiana, Shreveport AP</t>
  </si>
  <si>
    <t>Maine, Augusta AP</t>
  </si>
  <si>
    <t>Maine, Bangor, Dow AFB</t>
  </si>
  <si>
    <t>Maine, Brunswick, NAS</t>
  </si>
  <si>
    <t>Maine, Caribou AP</t>
  </si>
  <si>
    <t xml:space="preserve">Maine, Lewiston </t>
  </si>
  <si>
    <t>Maine, Limestone, Loring AFB</t>
  </si>
  <si>
    <t>Maine, Millinocket AP</t>
  </si>
  <si>
    <t xml:space="preserve">Maine, Portland </t>
  </si>
  <si>
    <t xml:space="preserve">Maine, Waterville </t>
  </si>
  <si>
    <t>Maryland, Balitimore AP</t>
  </si>
  <si>
    <t>Maryland, Balitimore CO</t>
  </si>
  <si>
    <t xml:space="preserve">Maryland, Cumberland </t>
  </si>
  <si>
    <t>Maryland, Fredrick AP</t>
  </si>
  <si>
    <t xml:space="preserve">Maryland, Hagerstown </t>
  </si>
  <si>
    <t>Maryland, Lex Park, Patuxent River NAS</t>
  </si>
  <si>
    <t xml:space="preserve">Maryland, Salisbury </t>
  </si>
  <si>
    <t>Massachusetts, Boston AP</t>
  </si>
  <si>
    <t xml:space="preserve">Massachusetts, Clinton </t>
  </si>
  <si>
    <t>Massachusetts, East Falmouth, Otis ANGB</t>
  </si>
  <si>
    <t>Massachusetts, Fall River</t>
  </si>
  <si>
    <t xml:space="preserve">Massachusetts, Framingham </t>
  </si>
  <si>
    <t xml:space="preserve">Massachusetts, Gloucester </t>
  </si>
  <si>
    <t xml:space="preserve">Massachusetts, Greenfield </t>
  </si>
  <si>
    <t xml:space="preserve">Massachusetts, Lawrence </t>
  </si>
  <si>
    <t xml:space="preserve">Massachusetts, Lowell </t>
  </si>
  <si>
    <t>Massachusetts, New Bedford</t>
  </si>
  <si>
    <t>Massachusetts, Pittsfield AP</t>
  </si>
  <si>
    <t>Massachusetts, Springfield, Westover AFB</t>
  </si>
  <si>
    <t xml:space="preserve">Massachusetts, Tauton </t>
  </si>
  <si>
    <t>Massachusetts, Weymouth, S. Weymouth Nas</t>
  </si>
  <si>
    <t>Massachusetts, Worcester AP</t>
  </si>
  <si>
    <t>Michigan, Alpena AP</t>
  </si>
  <si>
    <t>Michigan, Battle Creek AP</t>
  </si>
  <si>
    <t>Michigan, Benton Harbor AP</t>
  </si>
  <si>
    <t xml:space="preserve">Michigan, Detroit </t>
  </si>
  <si>
    <t xml:space="preserve">Michigan, Escanaba </t>
  </si>
  <si>
    <t>Michigan, Flint AP</t>
  </si>
  <si>
    <t>Michigan, Grand Rapids AP</t>
  </si>
  <si>
    <t xml:space="preserve">Michigan, Hancock </t>
  </si>
  <si>
    <t>Michigan, Harbour Beach</t>
  </si>
  <si>
    <t xml:space="preserve">Michigan, Holland </t>
  </si>
  <si>
    <t>Michigan, Jackson AP</t>
  </si>
  <si>
    <t xml:space="preserve">Michigan, Kalamazoo </t>
  </si>
  <si>
    <t>Michigan, Lansing AP</t>
  </si>
  <si>
    <t>Michigan, Marquette CO</t>
  </si>
  <si>
    <t>Michigan, Marquette, Sawyer AFB</t>
  </si>
  <si>
    <t>Michigan, Mount Clemens ANGB</t>
  </si>
  <si>
    <t>Michigan, Mt. Pleasant</t>
  </si>
  <si>
    <t>Michigan, Muskegon AP</t>
  </si>
  <si>
    <t>Michigan, Oscoda, Wurtsmith AFB</t>
  </si>
  <si>
    <t xml:space="preserve">Michigan, Pellston </t>
  </si>
  <si>
    <t xml:space="preserve">Michigan, Pontiac </t>
  </si>
  <si>
    <t>Michigan, Port Huron</t>
  </si>
  <si>
    <t>Michigan, Saginaw AP</t>
  </si>
  <si>
    <t>Michigan, Sault Ste. Marie AP</t>
  </si>
  <si>
    <t>Michigan, Seul Choix Point</t>
  </si>
  <si>
    <t>Michigan, Traverse City AP</t>
  </si>
  <si>
    <t xml:space="preserve">Michigan, Yipsilanti </t>
  </si>
  <si>
    <t>Minnesota, Albert Lea</t>
  </si>
  <si>
    <t>Minnesota, Alexandria AP</t>
  </si>
  <si>
    <t>Minnesota, Bemidji AP</t>
  </si>
  <si>
    <t xml:space="preserve">Minnesota, Brainerd </t>
  </si>
  <si>
    <t>Minnesota, Duluth AP</t>
  </si>
  <si>
    <t xml:space="preserve">Minnesota, Fairbault </t>
  </si>
  <si>
    <t>Minnesota, Fergus Falls</t>
  </si>
  <si>
    <t xml:space="preserve">Minnesota, Hibbing </t>
  </si>
  <si>
    <t>Minnesota, International Falls AP</t>
  </si>
  <si>
    <t>Minnesota, Minneapolis/St. Paul AP</t>
  </si>
  <si>
    <t>Minnesota, Redwood Falls</t>
  </si>
  <si>
    <t>Minnesota, Rochester AP</t>
  </si>
  <si>
    <t>Minnesota, St. Cloud AP</t>
  </si>
  <si>
    <t xml:space="preserve">Minnesota, Tofte </t>
  </si>
  <si>
    <t xml:space="preserve">Minnesota, Virginia </t>
  </si>
  <si>
    <t xml:space="preserve">Minnesota, Willmar </t>
  </si>
  <si>
    <t xml:space="preserve">Minnesota, Winona </t>
  </si>
  <si>
    <t>Mississippi, Biloxi, Keesler AFB</t>
  </si>
  <si>
    <t xml:space="preserve">Mississippi, Clarksdale </t>
  </si>
  <si>
    <t>Mississippi, Columbus AFB</t>
  </si>
  <si>
    <t>Mississippi, Greenville AFB</t>
  </si>
  <si>
    <t xml:space="preserve">Mississippi, Greenwood </t>
  </si>
  <si>
    <t xml:space="preserve">Mississippi, Hattiesburg </t>
  </si>
  <si>
    <t>Mississippi, Jackson AP</t>
  </si>
  <si>
    <t xml:space="preserve">Mississippi, Laurel </t>
  </si>
  <si>
    <t>Mississippi, McComb AP</t>
  </si>
  <si>
    <t>Mississippi, Meridian AP</t>
  </si>
  <si>
    <t xml:space="preserve">Mississippi, Natchez </t>
  </si>
  <si>
    <t xml:space="preserve">Mississippi, Tupelo </t>
  </si>
  <si>
    <t>Mississippi, Vicksburg CO</t>
  </si>
  <si>
    <t>Missouri, Cape Girardeau</t>
  </si>
  <si>
    <t>Missouri, Columbia AP</t>
  </si>
  <si>
    <t>Missouri, Farmington AP</t>
  </si>
  <si>
    <t xml:space="preserve">Missouri, Hannibal </t>
  </si>
  <si>
    <t>Missouri, Jefferson City</t>
  </si>
  <si>
    <t>Missouri, Joplin AP</t>
  </si>
  <si>
    <t>Missouri, Kansas City AP</t>
  </si>
  <si>
    <t>Missouri, Kirksville AP</t>
  </si>
  <si>
    <t xml:space="preserve">Missouri, Mexico </t>
  </si>
  <si>
    <t xml:space="preserve">Missouri, Moberly </t>
  </si>
  <si>
    <t>Missouri, Poplar Bluff</t>
  </si>
  <si>
    <t xml:space="preserve">Missouri, Rolla </t>
  </si>
  <si>
    <t>Missouri, Sedalia, Whiteman AFB</t>
  </si>
  <si>
    <t xml:space="preserve">Missouri, Sikeston </t>
  </si>
  <si>
    <t xml:space="preserve">Missouri, Spickard/Trenton </t>
  </si>
  <si>
    <t>Missouri, Springfield AP</t>
  </si>
  <si>
    <t>Missouri, Warrensburg, Whiteman AFB</t>
  </si>
  <si>
    <t>Montana, Billings AP</t>
  </si>
  <si>
    <t xml:space="preserve">Montana, Bozeman </t>
  </si>
  <si>
    <t>Montana, Butte AP</t>
  </si>
  <si>
    <t>Montana, Cut Bank AP</t>
  </si>
  <si>
    <t>Montana, Glasgow AP</t>
  </si>
  <si>
    <t xml:space="preserve">Montana, Glendive </t>
  </si>
  <si>
    <t>Montana, Great Falls AP</t>
  </si>
  <si>
    <t>Montana, Great Falls, Malmstrom AFB</t>
  </si>
  <si>
    <t xml:space="preserve">Montana, Havre </t>
  </si>
  <si>
    <t>Montana, Helena AP</t>
  </si>
  <si>
    <t>Montana, Kalispell AP</t>
  </si>
  <si>
    <t>Montana, Lewiston AP</t>
  </si>
  <si>
    <t>Montana, Livingston AP</t>
  </si>
  <si>
    <t>Montana, Miles City AP</t>
  </si>
  <si>
    <t>Montana, Missoula AP</t>
  </si>
  <si>
    <t xml:space="preserve">Nebraska, Beatrice </t>
  </si>
  <si>
    <t>Nebraska, Bellevue, Offutt AFB</t>
  </si>
  <si>
    <t>Nebraska, Chadron AP</t>
  </si>
  <si>
    <t xml:space="preserve">Nebraska, Columbus </t>
  </si>
  <si>
    <t xml:space="preserve">Nebraska, Fremont </t>
  </si>
  <si>
    <t>Nebraska, Grand Island AP</t>
  </si>
  <si>
    <t xml:space="preserve">Nebraska, Hastings </t>
  </si>
  <si>
    <t xml:space="preserve">Nebraska, Kearney </t>
  </si>
  <si>
    <t>Nebraska, Lincoln CO</t>
  </si>
  <si>
    <t xml:space="preserve">Nebraska, McCook </t>
  </si>
  <si>
    <t xml:space="preserve">Nebraska, Norfolk </t>
  </si>
  <si>
    <t>Nebraska, North Platte AP</t>
  </si>
  <si>
    <t>Nebraska, Omaha AP</t>
  </si>
  <si>
    <t>Nebraska, Omaha WSO</t>
  </si>
  <si>
    <t>Nebraska, Scottsbluff AP</t>
  </si>
  <si>
    <t>Nebraska, Sidney AP</t>
  </si>
  <si>
    <t xml:space="preserve">Nebraska, Valentine </t>
  </si>
  <si>
    <t>Nevada, Carson City</t>
  </si>
  <si>
    <t>Nevada, Elko AP</t>
  </si>
  <si>
    <t>Nevada, Ely AP</t>
  </si>
  <si>
    <t>Nevada, Las Vegas AP</t>
  </si>
  <si>
    <t>Nevada, Lovelock AP</t>
  </si>
  <si>
    <t xml:space="preserve">Nevada, Mercury </t>
  </si>
  <si>
    <t>Nevada, North Las Vega , Nellis AFB</t>
  </si>
  <si>
    <t>Nevada, Reno AP</t>
  </si>
  <si>
    <t>Nevada, Reno CO</t>
  </si>
  <si>
    <t>Nevada, Tonapah AP</t>
  </si>
  <si>
    <t>Nevada, Winnemucca AP</t>
  </si>
  <si>
    <t xml:space="preserve">New Hampshire, Berlin </t>
  </si>
  <si>
    <t xml:space="preserve">New Hampshire, Claremont </t>
  </si>
  <si>
    <t>New Hampshire, Concord AP</t>
  </si>
  <si>
    <t xml:space="preserve">New Hampshire, Keene </t>
  </si>
  <si>
    <t xml:space="preserve">New Hampshire, Laconia </t>
  </si>
  <si>
    <t xml:space="preserve">New Hampshire, Lebanon </t>
  </si>
  <si>
    <t>New Hampshire, Manchester, Grenier AFB</t>
  </si>
  <si>
    <t>New Hampshire, Mount Washington</t>
  </si>
  <si>
    <t>New Hampshire, Portsmouth, Pease AFB</t>
  </si>
  <si>
    <t>New Jersey, Atlantic City CO</t>
  </si>
  <si>
    <t>New Jersey, Long Branch</t>
  </si>
  <si>
    <t xml:space="preserve">New Jersey, Millville </t>
  </si>
  <si>
    <t>New Jersey, Newark AP</t>
  </si>
  <si>
    <t>New Jersey, New Brunswick</t>
  </si>
  <si>
    <t xml:space="preserve">New Jersey, Patterson </t>
  </si>
  <si>
    <t xml:space="preserve">New Jersey, Phillipsburg </t>
  </si>
  <si>
    <t xml:space="preserve">New Jersey, Teterboro </t>
  </si>
  <si>
    <t>New Jersey, Trenton, McQuire AFB</t>
  </si>
  <si>
    <t xml:space="preserve">New Jersey, Vineland </t>
  </si>
  <si>
    <t>New Mexico, Alamagordo Holloman AFB</t>
  </si>
  <si>
    <t>New Mexico, Albuquerque AP</t>
  </si>
  <si>
    <t xml:space="preserve">New Mexico, Artesia </t>
  </si>
  <si>
    <t>New Mexico, Carlsbad AP</t>
  </si>
  <si>
    <t xml:space="preserve">New Mexico, Clayton </t>
  </si>
  <si>
    <t>New Mexico, Clovis, Cannon AFB</t>
  </si>
  <si>
    <t>New Mexico, Farmington AP</t>
  </si>
  <si>
    <t xml:space="preserve">New Mexico, Gallup </t>
  </si>
  <si>
    <t xml:space="preserve">New Mexico, Grants </t>
  </si>
  <si>
    <t>New Mexico, Hobbs AP</t>
  </si>
  <si>
    <t>New Mexico, Las Cruces</t>
  </si>
  <si>
    <t>New Mexico, Los Alamos</t>
  </si>
  <si>
    <t>New Mexico, Raton AP</t>
  </si>
  <si>
    <t>New Mexico, Roswell, Walker AFB</t>
  </si>
  <si>
    <t>New Mexico, Santa Fe CO</t>
  </si>
  <si>
    <t>New Mexico, Silver City AP</t>
  </si>
  <si>
    <t>New Mexico, Socorro AP</t>
  </si>
  <si>
    <t>New Mexico, Truth or Consequences</t>
  </si>
  <si>
    <t>New Mexico, Tucumcari AP</t>
  </si>
  <si>
    <t>New York, Albany AP</t>
  </si>
  <si>
    <t>New York, Albany CO</t>
  </si>
  <si>
    <t xml:space="preserve">New York, Auburn </t>
  </si>
  <si>
    <t xml:space="preserve">New York, Bafavia </t>
  </si>
  <si>
    <t>New York, Binghampton AP</t>
  </si>
  <si>
    <t>New York, Buffalo AP</t>
  </si>
  <si>
    <t>New York, Central Islip</t>
  </si>
  <si>
    <t xml:space="preserve">New York, Cortland </t>
  </si>
  <si>
    <t xml:space="preserve">New York, Dunkirk </t>
  </si>
  <si>
    <t>New York, Elmira AP</t>
  </si>
  <si>
    <t xml:space="preserve">New York, Geneva </t>
  </si>
  <si>
    <t>New York, Glens Falls</t>
  </si>
  <si>
    <t xml:space="preserve">New York, Gloversville </t>
  </si>
  <si>
    <t xml:space="preserve">New York, Hornell </t>
  </si>
  <si>
    <t xml:space="preserve">New York, Ithaca </t>
  </si>
  <si>
    <t xml:space="preserve">New York, Jamestown </t>
  </si>
  <si>
    <t xml:space="preserve">New York, Kingston </t>
  </si>
  <si>
    <t xml:space="preserve">New York, Lockport </t>
  </si>
  <si>
    <t>New York, Massena AP</t>
  </si>
  <si>
    <t>New York, Newburg-Stewart AFB</t>
  </si>
  <si>
    <t>New York, NYC-Central Park</t>
  </si>
  <si>
    <t>New York, NYC-Kennedy AP</t>
  </si>
  <si>
    <t>New York, NYC-La Guardia AP</t>
  </si>
  <si>
    <t>New York, Niagra Falls AP</t>
  </si>
  <si>
    <t xml:space="preserve">New York, Olean </t>
  </si>
  <si>
    <t xml:space="preserve">New York, Oneonta </t>
  </si>
  <si>
    <t>New York, Oswego CO</t>
  </si>
  <si>
    <t>New York, Plattsburg AFB</t>
  </si>
  <si>
    <t xml:space="preserve">New York, Poughkeepsie </t>
  </si>
  <si>
    <t>New York, Rochester AP</t>
  </si>
  <si>
    <t>New York, Rome-Griffiss AFB</t>
  </si>
  <si>
    <t xml:space="preserve">New York, Schenectady </t>
  </si>
  <si>
    <t>New York, Suffolk County AFB</t>
  </si>
  <si>
    <t>New York, Syracuse AP</t>
  </si>
  <si>
    <t xml:space="preserve">New York, Utica </t>
  </si>
  <si>
    <t xml:space="preserve">New York, Watertown </t>
  </si>
  <si>
    <t>7O</t>
  </si>
  <si>
    <t>New York, White Plains</t>
  </si>
  <si>
    <t>North Carolina, Asheville AP</t>
  </si>
  <si>
    <t>North Carolina, Cape Hatteras</t>
  </si>
  <si>
    <t>North Carolina, Charlotte AP</t>
  </si>
  <si>
    <t>North Carolina, Cherry Point MCAS</t>
  </si>
  <si>
    <t xml:space="preserve">North Carolina, Durham </t>
  </si>
  <si>
    <t>North Carolina, Elizabeth City AP</t>
  </si>
  <si>
    <t>North Carolina, Fayetteville, Pope AFB</t>
  </si>
  <si>
    <t>North Carolina, Goldsboro, Seymour</t>
  </si>
  <si>
    <t>North Carolina, Goldsboro, Johnson AFB</t>
  </si>
  <si>
    <t>North Carolina, Greensboro AP</t>
  </si>
  <si>
    <t xml:space="preserve">North Carolina, Greenville </t>
  </si>
  <si>
    <t xml:space="preserve">North Carolina, Henderson </t>
  </si>
  <si>
    <t xml:space="preserve">North Carolina, Hickory </t>
  </si>
  <si>
    <t xml:space="preserve">North Carolina, Jacksonville </t>
  </si>
  <si>
    <t xml:space="preserve">North Carolina, Lumberton </t>
  </si>
  <si>
    <t>North Carolina, New Bern AP</t>
  </si>
  <si>
    <t>North Carolina, Raleigh/Durham AP</t>
  </si>
  <si>
    <t>North Carolina, Rocky Mount</t>
  </si>
  <si>
    <t>North Carolina, Wilmington AP</t>
  </si>
  <si>
    <t>North Carolina, Winston-Salem AP</t>
  </si>
  <si>
    <t>North Dakota, Bismark AP</t>
  </si>
  <si>
    <t>North Dakota, Devil’s Lake</t>
  </si>
  <si>
    <t>North Dakota, Dickinson AP</t>
  </si>
  <si>
    <t>North Dakota, Fargo AP</t>
  </si>
  <si>
    <t>North Dakota, Grands Forks AP</t>
  </si>
  <si>
    <t>North Dakota, Jamestown AP</t>
  </si>
  <si>
    <t>North Dakota, Minot AP</t>
  </si>
  <si>
    <t>North Dakota, Minot, AFB</t>
  </si>
  <si>
    <t xml:space="preserve">North Dakota, Williston </t>
  </si>
  <si>
    <t>Ohio, Akron-Canton AP</t>
  </si>
  <si>
    <t xml:space="preserve">Ohio, Ashtabula </t>
  </si>
  <si>
    <t xml:space="preserve">Ohio, Athens </t>
  </si>
  <si>
    <t>Ohio, Bowling Green</t>
  </si>
  <si>
    <t xml:space="preserve">Ohio, Cambridge </t>
  </si>
  <si>
    <t xml:space="preserve">Ohio, Chilicothe </t>
  </si>
  <si>
    <t>Ohio, Cincinnati, Lunken Field</t>
  </si>
  <si>
    <t>Ohio, Cleveland AP</t>
  </si>
  <si>
    <t>Ohio, Columbus AP</t>
  </si>
  <si>
    <t>Ohio, Columbus, Rickenbckr AFB</t>
  </si>
  <si>
    <t>Ohio, Dayton AP</t>
  </si>
  <si>
    <t>Ohio, Dayton, Wright/Paterson AFB</t>
  </si>
  <si>
    <t xml:space="preserve">Ohio, Defiance </t>
  </si>
  <si>
    <t>Ohio, Finlay AP</t>
  </si>
  <si>
    <t xml:space="preserve">Ohio, Fremont </t>
  </si>
  <si>
    <t xml:space="preserve">Ohio, Hamilton </t>
  </si>
  <si>
    <t xml:space="preserve">Ohio, Lancaster </t>
  </si>
  <si>
    <t xml:space="preserve">Ohio, Lima </t>
  </si>
  <si>
    <t>Ohio, Mansfield AP</t>
  </si>
  <si>
    <t xml:space="preserve">Ohio, Marion </t>
  </si>
  <si>
    <t xml:space="preserve">Ohio, Middletown </t>
  </si>
  <si>
    <t xml:space="preserve">Ohio, Newark </t>
  </si>
  <si>
    <t xml:space="preserve">Ohio, Norwalk </t>
  </si>
  <si>
    <t xml:space="preserve">Ohio, Portsmouth </t>
  </si>
  <si>
    <t>Ohio, Sandusky CO</t>
  </si>
  <si>
    <t xml:space="preserve">Ohio, Springfield </t>
  </si>
  <si>
    <t xml:space="preserve">Ohio, Stubenville </t>
  </si>
  <si>
    <t>Ohio, Toledo AP</t>
  </si>
  <si>
    <t xml:space="preserve">Ohio, Warren </t>
  </si>
  <si>
    <t xml:space="preserve">Ohio, Wooster </t>
  </si>
  <si>
    <t>Ohio, Youngstown AP</t>
  </si>
  <si>
    <t>Ohio, Zanesville AP</t>
  </si>
  <si>
    <t xml:space="preserve">Oklahoma, Ada </t>
  </si>
  <si>
    <t>Oklahoma, Altus AFB</t>
  </si>
  <si>
    <t xml:space="preserve">Oklahoma, Ardmore </t>
  </si>
  <si>
    <t xml:space="preserve">Oklahoma, Bartlesville </t>
  </si>
  <si>
    <t xml:space="preserve">Oklahoma, Chickasha </t>
  </si>
  <si>
    <t>Oklahoma, Enid-Vance AFB</t>
  </si>
  <si>
    <t>Oklahoma, Lawton AP</t>
  </si>
  <si>
    <t xml:space="preserve">Oklahoma, McAlester </t>
  </si>
  <si>
    <t>Oklahoma, Muskogee AP</t>
  </si>
  <si>
    <t>Oklahoma, Oklahoma City AP</t>
  </si>
  <si>
    <t>Oklahoma, Oklahoma City, W.Rogers AP</t>
  </si>
  <si>
    <t>Oklahoma, Ponca City</t>
  </si>
  <si>
    <t xml:space="preserve">Oklahoma, Seminole </t>
  </si>
  <si>
    <t xml:space="preserve">Oklahoma, Stillwater </t>
  </si>
  <si>
    <t>Oklahoma, Tulsa AP</t>
  </si>
  <si>
    <t xml:space="preserve">Oklahoma, Woodward </t>
  </si>
  <si>
    <t xml:space="preserve">Oregon, Albany </t>
  </si>
  <si>
    <t>Oregon, Astoria AP</t>
  </si>
  <si>
    <t>Oregon, Baker AP</t>
  </si>
  <si>
    <t xml:space="preserve">Oregon, Bend </t>
  </si>
  <si>
    <t xml:space="preserve">Oregon, Corvallis </t>
  </si>
  <si>
    <t>Oregon, Eugene AP</t>
  </si>
  <si>
    <t>Oregon, Grants Pass</t>
  </si>
  <si>
    <t xml:space="preserve">Oregon, Hillsboro </t>
  </si>
  <si>
    <t>Oregon, Klamath Falls AP</t>
  </si>
  <si>
    <t xml:space="preserve">Oregon, Meacham </t>
  </si>
  <si>
    <t>Oregon, Medford AP</t>
  </si>
  <si>
    <t>Oregon, North Bend</t>
  </si>
  <si>
    <t>Oregon, Pendleton AP</t>
  </si>
  <si>
    <t>Oregon, Portland AP</t>
  </si>
  <si>
    <t>Oregon, Portland CO</t>
  </si>
  <si>
    <t xml:space="preserve">Oregon, Redmond </t>
  </si>
  <si>
    <t>Oregon, Roseburg AP</t>
  </si>
  <si>
    <t>Oregon, Salem AP</t>
  </si>
  <si>
    <t>Oregon, Sexton Summit</t>
  </si>
  <si>
    <t>Oregon, The Dalles</t>
  </si>
  <si>
    <t>Pennsylvania, Allentown AP</t>
  </si>
  <si>
    <t>Pennsylvania, Altoona CO</t>
  </si>
  <si>
    <t xml:space="preserve">Pennsylvania, Bradford </t>
  </si>
  <si>
    <t xml:space="preserve">Pennsylvania, Butler </t>
  </si>
  <si>
    <t xml:space="preserve">Pennsylvania, Chambersburg </t>
  </si>
  <si>
    <t xml:space="preserve">Pennsylvania, DuBois </t>
  </si>
  <si>
    <t>Pennsylvania, Erie AP</t>
  </si>
  <si>
    <t>Pennsylvania, Harrisburg AP</t>
  </si>
  <si>
    <t xml:space="preserve">Pennsylvania, Johnstown </t>
  </si>
  <si>
    <t xml:space="preserve">Pennsylvania, Lancaster </t>
  </si>
  <si>
    <t xml:space="preserve">Pennsylvania, Meadville </t>
  </si>
  <si>
    <t>Pennsylvania, New Castle</t>
  </si>
  <si>
    <t>Pennsylvania, Philadelphia AP</t>
  </si>
  <si>
    <t>Pennsylvania, Philadelphia, Northeast AP</t>
  </si>
  <si>
    <t>Pennsylvania, Philadelphia, Willow Gr NAS</t>
  </si>
  <si>
    <t>Pennsylvania, Pittsburgh AP</t>
  </si>
  <si>
    <t>Pennsylvania, Pittsburgh, Allegheny AP</t>
  </si>
  <si>
    <t>Pennsylvania, Reading CO</t>
  </si>
  <si>
    <t xml:space="preserve">Pennsylvania, Scranton/Wilkes-Barre </t>
  </si>
  <si>
    <t>Pennsylvania, State College</t>
  </si>
  <si>
    <t xml:space="preserve">Pennsylvania, Sunbury </t>
  </si>
  <si>
    <t xml:space="preserve">Pennsylvania, Uniontown </t>
  </si>
  <si>
    <t xml:space="preserve">Pennsylvania, Warren </t>
  </si>
  <si>
    <t>Pennsylvania, West Chester</t>
  </si>
  <si>
    <t>Pennsylvania, Williamsport AP</t>
  </si>
  <si>
    <t xml:space="preserve">Pennsylvania, York </t>
  </si>
  <si>
    <t xml:space="preserve">Rhode Island, Newport </t>
  </si>
  <si>
    <t>Rhode Island, Providence AP</t>
  </si>
  <si>
    <t xml:space="preserve">South Carolina, Anderson </t>
  </si>
  <si>
    <t>South Carolina, Beaufort, MCAS</t>
  </si>
  <si>
    <t>South Carolina, Charleston AFB</t>
  </si>
  <si>
    <t>South Carolina, Charleston CO</t>
  </si>
  <si>
    <t>South Carolina, Columbia AP</t>
  </si>
  <si>
    <t>South Carolina, Florence AP</t>
  </si>
  <si>
    <t xml:space="preserve">South Carolina, Georgetown </t>
  </si>
  <si>
    <t>South Carolina, Greenville AP/Greer</t>
  </si>
  <si>
    <t xml:space="preserve">South Carolina, Greenwood </t>
  </si>
  <si>
    <t>South Carolina, Myrtle Beach, AFB</t>
  </si>
  <si>
    <t xml:space="preserve">South Carolina, Orangeburg </t>
  </si>
  <si>
    <t>South Carolina, Rock Hill</t>
  </si>
  <si>
    <t>South Carolina, Spartanburg AP</t>
  </si>
  <si>
    <t>South Carolina, Sumter-Shaw AFB</t>
  </si>
  <si>
    <t>South Dakota, Aberdeen AP</t>
  </si>
  <si>
    <t xml:space="preserve">South Dakota, Brookings </t>
  </si>
  <si>
    <t xml:space="preserve">South Dakota, Chamberlain </t>
  </si>
  <si>
    <t>South Dakota, Huron AP</t>
  </si>
  <si>
    <t xml:space="preserve">South Dakota, Mitchell </t>
  </si>
  <si>
    <t>South Dakota, Pierre AP</t>
  </si>
  <si>
    <t>South Dakota, Rapid City AP</t>
  </si>
  <si>
    <t>South Dakota, Sioux Falls AP</t>
  </si>
  <si>
    <t>South Dakota, Watertown AP</t>
  </si>
  <si>
    <t xml:space="preserve">South Dakota, Yankton </t>
  </si>
  <si>
    <t xml:space="preserve">Tennessee, Athens </t>
  </si>
  <si>
    <t>Tennessee, Bristol-Tri City AP</t>
  </si>
  <si>
    <t>Tennessee, Chattanooga AP</t>
  </si>
  <si>
    <t xml:space="preserve">Tennessee, Clarksville </t>
  </si>
  <si>
    <t xml:space="preserve">Tennessee, Columbia </t>
  </si>
  <si>
    <t xml:space="preserve">Tennessee, Crossville </t>
  </si>
  <si>
    <t xml:space="preserve">Tennessee, Dyersburg </t>
  </si>
  <si>
    <t xml:space="preserve">Tennessee, Greenville </t>
  </si>
  <si>
    <t>Tennessee, Jackson AP</t>
  </si>
  <si>
    <t>Tennessee, Knoxville AP</t>
  </si>
  <si>
    <t>Tennessee, Memphis AP</t>
  </si>
  <si>
    <t xml:space="preserve">Tennessee, Murfreesboro </t>
  </si>
  <si>
    <t>Tennessee, Nashville AP</t>
  </si>
  <si>
    <t xml:space="preserve">Tennessee, Tullahoma </t>
  </si>
  <si>
    <t>Texas, Abilene AP</t>
  </si>
  <si>
    <t>Texas, Alice AP</t>
  </si>
  <si>
    <t>Texas, Amarillo AP</t>
  </si>
  <si>
    <t>Texas, Austin AP</t>
  </si>
  <si>
    <t>Texas, Bay City</t>
  </si>
  <si>
    <t xml:space="preserve">Texas, Beaumont </t>
  </si>
  <si>
    <t xml:space="preserve">Texas, Beeville </t>
  </si>
  <si>
    <t>Texas, Big Springs AP</t>
  </si>
  <si>
    <t>Texas, Brownsville AP</t>
  </si>
  <si>
    <t xml:space="preserve">Texas, Brownwood </t>
  </si>
  <si>
    <t>Texas, Bryan AP</t>
  </si>
  <si>
    <t>Texas, Corpus Christi AP</t>
  </si>
  <si>
    <t xml:space="preserve">Texas, Corsicana </t>
  </si>
  <si>
    <t>Texas, Dallas, Fort Worth AP</t>
  </si>
  <si>
    <t>Texas, Del Rio, Laughlin AFB</t>
  </si>
  <si>
    <t xml:space="preserve">Texas, Denton </t>
  </si>
  <si>
    <t>Texas, Eagle Pass</t>
  </si>
  <si>
    <t>Texas, El Paso AP</t>
  </si>
  <si>
    <t>Texas, Fort Worth, Carswell AFB</t>
  </si>
  <si>
    <t>Texas, Fort Worth, Meacham Field</t>
  </si>
  <si>
    <t>Texas, Galveston AP</t>
  </si>
  <si>
    <t xml:space="preserve">Texas, Greenville </t>
  </si>
  <si>
    <t>Texas, Guadalupe Pass</t>
  </si>
  <si>
    <t xml:space="preserve">Texas, Harlingen </t>
  </si>
  <si>
    <t>Texas, Houston AP</t>
  </si>
  <si>
    <t>Texas, Houston, Hobby AP</t>
  </si>
  <si>
    <t xml:space="preserve">Texas, Huntsville </t>
  </si>
  <si>
    <t xml:space="preserve">Texas, Junction </t>
  </si>
  <si>
    <t>Texas, Killeen-Gray AFB</t>
  </si>
  <si>
    <t>Texas, Kingsville, NAS</t>
  </si>
  <si>
    <t xml:space="preserve">Texas, Lamesa </t>
  </si>
  <si>
    <t>Texas, Laredo AFB</t>
  </si>
  <si>
    <t>Texas, Lubbock AP</t>
  </si>
  <si>
    <t>Texas, Lubbock, Reese AFB</t>
  </si>
  <si>
    <t>Texas, Lufkin AP</t>
  </si>
  <si>
    <t xml:space="preserve">Texas, Marfa </t>
  </si>
  <si>
    <t xml:space="preserve">Texas, McAllen </t>
  </si>
  <si>
    <t>Texas, Midland AP</t>
  </si>
  <si>
    <t>Texas, Mineral Wells AP</t>
  </si>
  <si>
    <t>Texas, Palestine CO</t>
  </si>
  <si>
    <t xml:space="preserve">Texas, Pampa </t>
  </si>
  <si>
    <t xml:space="preserve">Texas, Pecos </t>
  </si>
  <si>
    <t xml:space="preserve">Texas, Plainview </t>
  </si>
  <si>
    <t>Texas, Port Arthur AP</t>
  </si>
  <si>
    <t>Texas, San Angelo, Goodfellow AFB</t>
  </si>
  <si>
    <t>Texas, San Antonio AP</t>
  </si>
  <si>
    <t>Texas, San Antonio, Kelly AFB</t>
  </si>
  <si>
    <t>Texas, San Antonio, Randolph AFB</t>
  </si>
  <si>
    <t xml:space="preserve">Texas, Sanderson </t>
  </si>
  <si>
    <t>Texas, Sherman-Perrin AFB</t>
  </si>
  <si>
    <t xml:space="preserve">Texas, Snyder </t>
  </si>
  <si>
    <t xml:space="preserve">Texas, Temple </t>
  </si>
  <si>
    <t>Texas, Tyler AP</t>
  </si>
  <si>
    <t xml:space="preserve">Texas, Vernon </t>
  </si>
  <si>
    <t>Texas, Victoria AP</t>
  </si>
  <si>
    <t>Texas, Waco AP</t>
  </si>
  <si>
    <t>Texas, Wichita Falls AP</t>
  </si>
  <si>
    <t>Utah, Cedar City AP</t>
  </si>
  <si>
    <t xml:space="preserve">Utah, Logan </t>
  </si>
  <si>
    <t xml:space="preserve">Utah, Moab </t>
  </si>
  <si>
    <t>Utah, Ogden, Hill AFB</t>
  </si>
  <si>
    <t xml:space="preserve">Utah, Price </t>
  </si>
  <si>
    <t xml:space="preserve">Utah, Provo </t>
  </si>
  <si>
    <t xml:space="preserve">Utah, Richfield </t>
  </si>
  <si>
    <t>Utah, Salt Lake City AP</t>
  </si>
  <si>
    <t>Utah, Vernal AP</t>
  </si>
  <si>
    <t xml:space="preserve">Vermont, Barre </t>
  </si>
  <si>
    <t>Vermont, Burlington AP</t>
  </si>
  <si>
    <t>Vermont, Montpelier/ Barre</t>
  </si>
  <si>
    <t xml:space="preserve">Vermont, Rutland </t>
  </si>
  <si>
    <t xml:space="preserve">Virginia, Charlottsville </t>
  </si>
  <si>
    <t>Virginia, Danville AP</t>
  </si>
  <si>
    <t>Virginia, Fort Belvoir</t>
  </si>
  <si>
    <t xml:space="preserve">Virginia, Fredricksburg </t>
  </si>
  <si>
    <t>Virginia, Hampton, Langley AFB</t>
  </si>
  <si>
    <t xml:space="preserve">Virginia, Harrisonburg </t>
  </si>
  <si>
    <t>Virginia, Lynchburg AP</t>
  </si>
  <si>
    <t>Virginia, Newport News</t>
  </si>
  <si>
    <t>Virginia, Norfolk AP</t>
  </si>
  <si>
    <t>Virginia, Oceana, NAS</t>
  </si>
  <si>
    <t xml:space="preserve">Virginia, Petersburg </t>
  </si>
  <si>
    <t>Virginia, Quantico MCAS</t>
  </si>
  <si>
    <t>Virginia, Richmond AP</t>
  </si>
  <si>
    <t>Virginia, Roanoke AP</t>
  </si>
  <si>
    <t xml:space="preserve">Virginia, Staunton </t>
  </si>
  <si>
    <t xml:space="preserve">Virginia, Sterling </t>
  </si>
  <si>
    <t>Virginia, Reagan, National AP</t>
  </si>
  <si>
    <t xml:space="preserve">Virginia, Winchester </t>
  </si>
  <si>
    <t xml:space="preserve">Washington, Aberdeen </t>
  </si>
  <si>
    <t>Washington, Bellingham AP</t>
  </si>
  <si>
    <t xml:space="preserve">Washington, Bremerton </t>
  </si>
  <si>
    <t>Washington, Ellensburg AP</t>
  </si>
  <si>
    <t>Washington, Everett-Paine AFB</t>
  </si>
  <si>
    <t xml:space="preserve">Washington, Hanford </t>
  </si>
  <si>
    <t xml:space="preserve">Washington, Kennewick </t>
  </si>
  <si>
    <t xml:space="preserve">Washington, Longview </t>
  </si>
  <si>
    <t>Washington, Moses Lake, Larson AFB</t>
  </si>
  <si>
    <t>Washington, Olympia AP</t>
  </si>
  <si>
    <t>Washington, Port Angeles</t>
  </si>
  <si>
    <t xml:space="preserve">Washington, Quillayute </t>
  </si>
  <si>
    <t>Washington, Seattle-Boeing Fld</t>
  </si>
  <si>
    <t>Washington, Seattle CO</t>
  </si>
  <si>
    <t>Washington, Seattle-Tacoma AP</t>
  </si>
  <si>
    <t>Washington, Spokane AP</t>
  </si>
  <si>
    <t>Washington, Stampede Pass</t>
  </si>
  <si>
    <t>Washington, Tacoma-McChord AFB</t>
  </si>
  <si>
    <t>Washington, Walla Walla AP</t>
  </si>
  <si>
    <t xml:space="preserve">Washington, Wenatchee </t>
  </si>
  <si>
    <t>Washington, Yakima AP</t>
  </si>
  <si>
    <t xml:space="preserve">West Virginia, Beckley </t>
  </si>
  <si>
    <t>West Virginia, Bluefield AP</t>
  </si>
  <si>
    <t>West Virginia, Charleston AP</t>
  </si>
  <si>
    <t xml:space="preserve">West Virginia, Clarksburg </t>
  </si>
  <si>
    <t>West Virginia, Elkins AP</t>
  </si>
  <si>
    <t>West Virginia, Huntington CO</t>
  </si>
  <si>
    <t>West Virginia, Martinsburg AP</t>
  </si>
  <si>
    <t>West Virginia, Morgantown AP</t>
  </si>
  <si>
    <t>West Virginia, Parkersburg CO</t>
  </si>
  <si>
    <t xml:space="preserve">West Virginia, Wheeling </t>
  </si>
  <si>
    <t xml:space="preserve">Wisconsin, Appleton </t>
  </si>
  <si>
    <t xml:space="preserve">Wisconsin, Ashland </t>
  </si>
  <si>
    <t xml:space="preserve">Wisconsin, Beloit </t>
  </si>
  <si>
    <t>Wisconsin, Eau Claire AP</t>
  </si>
  <si>
    <t>Wisconsin, Fond du Lac</t>
  </si>
  <si>
    <t>Wisconsin, Green Bay AP</t>
  </si>
  <si>
    <t>Wisconsin, LaCrosse AP</t>
  </si>
  <si>
    <t>Wisconsin, Madison AP</t>
  </si>
  <si>
    <t xml:space="preserve">Wisconsin, Manitowoc </t>
  </si>
  <si>
    <t xml:space="preserve">Wisconsin, Marinette </t>
  </si>
  <si>
    <t>Wisconsin, Milwaukee AP</t>
  </si>
  <si>
    <t xml:space="preserve">Wisconsin, Racine </t>
  </si>
  <si>
    <t xml:space="preserve">Wisconsin, Sheboygan </t>
  </si>
  <si>
    <t>Wisconsin, Stevens Point</t>
  </si>
  <si>
    <t xml:space="preserve">Wisconsin, Waukesha </t>
  </si>
  <si>
    <t>Wisconsin, Wausau AP</t>
  </si>
  <si>
    <t>Wyoming, Big Piney</t>
  </si>
  <si>
    <t>Wyoming, Casper AP</t>
  </si>
  <si>
    <t>Wyoming, Cheyene AP</t>
  </si>
  <si>
    <t>Wyoming, Cody AP</t>
  </si>
  <si>
    <t xml:space="preserve">Wyoming, Evanston </t>
  </si>
  <si>
    <t xml:space="preserve">Wyoming, Gillette </t>
  </si>
  <si>
    <t>Wyoming, Lander AP</t>
  </si>
  <si>
    <t>Wyoming, Laramie AP</t>
  </si>
  <si>
    <t xml:space="preserve">Wyoming, Newcastle </t>
  </si>
  <si>
    <t xml:space="preserve">Wyoming, Rawlins </t>
  </si>
  <si>
    <t>Wyoming, Rock Springs AP</t>
  </si>
  <si>
    <t>Wyoming, Sheridan AP</t>
  </si>
  <si>
    <t xml:space="preserve">Wyoming, Torrington </t>
  </si>
  <si>
    <t xml:space="preserve">Wyoming, Worland </t>
  </si>
  <si>
    <t xml:space="preserve">Design State &amp; City </t>
  </si>
  <si>
    <t>DC</t>
  </si>
  <si>
    <t>DC, Reagan National AP</t>
  </si>
  <si>
    <t>DC, Andrews AFB</t>
  </si>
  <si>
    <t>Low</t>
  </si>
  <si>
    <t>High</t>
  </si>
  <si>
    <t>Version MJ8ae 1.17 11AUG08</t>
  </si>
  <si>
    <t>Added automated design conditions lookup from selected state &amp; city.</t>
  </si>
  <si>
    <t>Table 4A -- Constructions 12, 13 &amp; 15 -- Above Grade Walls</t>
  </si>
  <si>
    <t xml:space="preserve">    Enter values from Table 1A -- exactly -- unless code or regulation specifies a different value. </t>
  </si>
  <si>
    <t xml:space="preserve">    * Default value = 50% (applies to most climates that produce a latent gain). </t>
  </si>
  <si>
    <t xml:space="preserve">    * Dry climate option = 45% (Table 1A grains-difference value at 50% RH is zero or negative; or cooling coil is dry for most of the cooling season.)</t>
  </si>
  <si>
    <t xml:space="preserve">    * Humid-climate option = 55% (Climate has oppressive humidity; Manual S procedure shows the equipment does not have enough latent capacity for a 50% RH design value.) </t>
  </si>
  <si>
    <t>1)</t>
  </si>
  <si>
    <t>2)</t>
  </si>
  <si>
    <t>The Glass, Doors, Walls, Ceilings and  Floors tabs (surface tabs) must be populated with information that applies to the typical construction practices</t>
  </si>
  <si>
    <t>● Editing population input during any stage of an actual load calculation may change the heat loss and heat estimates for the problem at hand.</t>
  </si>
  <si>
    <t>Note: If the same construction applies to more than one city, populate the surface tabs first; then name and save the file; then populate the J1 Form design conditions for the</t>
  </si>
  <si>
    <t>city; then rename (for the city and application) and save the file again.</t>
  </si>
  <si>
    <t>Construction Number; Wall Type; Board R-Value; Cavity R-Value, Exterior Finish</t>
  </si>
  <si>
    <t>Table 4A -- Constructions 12 &amp; 13 -- Partitions</t>
  </si>
  <si>
    <t>Construction Number; Wall Type; Board R-Value; Cavity R-Value, Finish</t>
  </si>
  <si>
    <t>Table 4A -- Construction Number 15 -- Below Grade Walls</t>
  </si>
  <si>
    <t>Construction Number; Wall Type; Board R-Value; Cavity R-Value, Floor Depth</t>
  </si>
  <si>
    <t>Wall</t>
  </si>
  <si>
    <t>Shaded
Wall</t>
  </si>
  <si>
    <t>No</t>
  </si>
  <si>
    <t>Table 4A -- Construction Numbers 16, 17 &amp; 18 -- Ceilings</t>
  </si>
  <si>
    <t>Construction Number; Type of Ceiling; R-Value; Roof Material and Roof Color</t>
  </si>
  <si>
    <t>PTDH</t>
  </si>
  <si>
    <t>PTDC</t>
  </si>
  <si>
    <t>Heating
Table 2A Construction Numbers and Details
that Apply to this Load Estimate</t>
  </si>
  <si>
    <t xml:space="preserve">     * Only click on the check boxes if the furnace and/or water heater draw combustion air from the conditioned space.</t>
  </si>
  <si>
    <t xml:space="preserve">        Note: Failure to enter a surface area or a 1 results in a zero duct load for that side of the system (make sure the supply and return area inputs are correct).</t>
  </si>
  <si>
    <t xml:space="preserve">     * Look at the value in the blue ventilation Cfm cell. This is the value for the suggested outdoor air Cfm (see Section 3-13 in the MJ8ae book).</t>
  </si>
  <si>
    <t xml:space="preserve">     * Use the yellow pull down menu to select the one of the four ventilation Cfm options.</t>
  </si>
  <si>
    <t>Use the yellow pull down menus on the Glass Sched tab to select the windows, glass doors and skylights for the dwelling.</t>
  </si>
  <si>
    <t xml:space="preserve">  Note: Respond to the check boxes before using the yellow pull down menu to select a Table 8A Cfm option.</t>
  </si>
  <si>
    <t>Width
of
opening (Ft)</t>
  </si>
  <si>
    <t>Height of
opening
H (Ft)</t>
  </si>
  <si>
    <t>Overhang
Distance
X (Ft)</t>
  </si>
  <si>
    <t>Top of
Opening to
Overhang
Y (Ft)</t>
  </si>
  <si>
    <r>
      <t xml:space="preserve">MJ8ae is an abridged version of the Eighth Edition of </t>
    </r>
    <r>
      <rPr>
        <b/>
        <i/>
        <sz val="10"/>
        <rFont val="Times New Roman"/>
        <family val="1"/>
      </rPr>
      <t>Manual J</t>
    </r>
    <r>
      <rPr>
        <sz val="10"/>
        <rFont val="Times New Roman"/>
        <family val="1"/>
      </rPr>
      <t xml:space="preserve">. It provides an introduction to residential heat-loss and heat gain procedures. Mastery of the material in this guide is a prerequisite for using the unabridged version of </t>
    </r>
    <r>
      <rPr>
        <b/>
        <i/>
        <sz val="10"/>
        <rFont val="Times New Roman"/>
        <family val="1"/>
      </rPr>
      <t>Manual J</t>
    </r>
    <r>
      <rPr>
        <sz val="10"/>
        <rFont val="Times New Roman"/>
        <family val="1"/>
      </rPr>
      <t xml:space="preserve">. Mastery of this material is a prerequisite for using third party software products that perform </t>
    </r>
    <r>
      <rPr>
        <b/>
        <i/>
        <sz val="10"/>
        <rFont val="Times New Roman"/>
        <family val="1"/>
      </rPr>
      <t>Manual J</t>
    </r>
    <r>
      <rPr>
        <sz val="10"/>
        <rFont val="Times New Roman"/>
        <family val="1"/>
      </rPr>
      <t xml:space="preserve"> calculations. MJ8ae assumes the practitioner is acquainted (or will become familiar with) with the basic principles of mathematics and heat transfer; and is conversant with </t>
    </r>
    <r>
      <rPr>
        <b/>
        <i/>
        <sz val="10"/>
        <rFont val="Times New Roman"/>
        <family val="1"/>
      </rPr>
      <t>Manual S</t>
    </r>
    <r>
      <rPr>
        <i/>
        <sz val="10"/>
        <rFont val="Times New Roman"/>
        <family val="1"/>
      </rPr>
      <t xml:space="preserve">, </t>
    </r>
    <r>
      <rPr>
        <b/>
        <i/>
        <sz val="10"/>
        <rFont val="Times New Roman"/>
        <family val="1"/>
      </rPr>
      <t>Manual D</t>
    </r>
    <r>
      <rPr>
        <sz val="10"/>
        <rFont val="Times New Roman"/>
        <family val="1"/>
      </rPr>
      <t xml:space="preserve"> and </t>
    </r>
    <r>
      <rPr>
        <b/>
        <i/>
        <sz val="10"/>
        <rFont val="Times New Roman"/>
        <family val="1"/>
      </rPr>
      <t>Manual T</t>
    </r>
    <r>
      <rPr>
        <sz val="10"/>
        <rFont val="Times New Roman"/>
        <family val="1"/>
      </rPr>
      <t xml:space="preserve"> design procedures.</t>
    </r>
  </si>
  <si>
    <r>
      <t xml:space="preserve">System design plays an important role in the comfort, health and safety of the occupants. </t>
    </r>
    <r>
      <rPr>
        <b/>
        <sz val="10"/>
        <rFont val="Times New Roman"/>
        <family val="1"/>
      </rPr>
      <t xml:space="preserve"> </t>
    </r>
    <r>
      <rPr>
        <sz val="10"/>
        <rFont val="Times New Roman"/>
        <family val="1"/>
      </rPr>
      <t>MJ8</t>
    </r>
    <r>
      <rPr>
        <vertAlign val="subscript"/>
        <sz val="10"/>
        <rFont val="Times New Roman"/>
        <family val="1"/>
      </rPr>
      <t>AE</t>
    </r>
    <r>
      <rPr>
        <sz val="10"/>
        <rFont val="Times New Roman"/>
        <family val="1"/>
      </rPr>
      <t xml:space="preserve"> may be used to estimate heat loss and heat gain for residential applications that have the following attributes.</t>
    </r>
  </si>
  <si>
    <t>Cooling is provided by a central, single-zone, constant volume system (MJ8ae shall not be used for zoned systems).</t>
  </si>
  <si>
    <t>There shall be no excursion adjustment for the sensible gain produced by the fenestration (see MJ8ae Appendix 3).</t>
  </si>
  <si>
    <t>Envelope leakage shall be estimated by the Table 5A air-change method (see MJ8ae, Section 3-10).</t>
  </si>
  <si>
    <t>A duct system shall be entirely in the conditioned space, or shall be compatible with one of the system scenarios summarized by Figure 1-1 of MJ8ae Section 1.</t>
  </si>
  <si>
    <t>Duct run leakage shall be equal to the default values (for sealed ducts and unsealed ducts), unless verified by a field leakage test (see MJ8ae, Section 3-12).</t>
  </si>
  <si>
    <t>Engineered ventilation can be provided by piping a small amount (50 CFM or less) of fresh air to the return-side of the duct system (see MJ8ae, Section 3-13).</t>
  </si>
  <si>
    <r>
      <t>Procedural complexity increases in proportion to sensitivity to variations in construction detail. Defaults simplify the procedure and make hand calculations possible. The defaults that apply to MJ8</t>
    </r>
    <r>
      <rPr>
        <vertAlign val="subscript"/>
        <sz val="10"/>
        <rFont val="Times New Roman"/>
        <family val="1"/>
      </rPr>
      <t>AE</t>
    </r>
    <r>
      <rPr>
        <sz val="10"/>
        <rFont val="Times New Roman"/>
        <family val="1"/>
      </rPr>
      <t xml:space="preserve"> are listed here.</t>
    </r>
  </si>
  <si>
    <t>Version MJ8ae 1.06 30JAN06</t>
  </si>
  <si>
    <r>
      <t xml:space="preserve">The principles and procedures presented in this guide apply to any dwelling that is 100 percent compatible with preceding list of limitations, guidelines and defaults. The unabridged version of </t>
    </r>
    <r>
      <rPr>
        <b/>
        <i/>
        <sz val="10"/>
        <rFont val="Times New Roman"/>
        <family val="1"/>
      </rPr>
      <t>Manual J</t>
    </r>
    <r>
      <rPr>
        <sz val="10"/>
        <rFont val="Times New Roman"/>
        <family val="1"/>
      </rPr>
      <t xml:space="preserve"> shall be used for any and all dwellings that are not compatible with the above list.</t>
    </r>
  </si>
  <si>
    <t>Obtain load area information (dimensions) from the plans or from site survey notes.</t>
  </si>
  <si>
    <r>
      <t xml:space="preserve">Scrutinize the </t>
    </r>
    <r>
      <rPr>
        <b/>
        <i/>
        <sz val="9"/>
        <rFont val="Arial"/>
        <family val="2"/>
      </rPr>
      <t>Read Me</t>
    </r>
    <r>
      <rPr>
        <b/>
        <sz val="9"/>
        <rFont val="Arial"/>
        <family val="2"/>
      </rPr>
      <t xml:space="preserve"> tab before using the MJ8ae workbook.</t>
    </r>
  </si>
  <si>
    <t>Adjustment for Projected Window or French Door</t>
  </si>
  <si>
    <t>X (Ft.)</t>
  </si>
  <si>
    <t>Y (FT.)</t>
  </si>
  <si>
    <t>H (Ft.)</t>
  </si>
  <si>
    <t>For Heat Loss</t>
  </si>
  <si>
    <t>* Use the "look-up" menu in the Heating column to list the skylights.</t>
  </si>
  <si>
    <t>* Enter values for the width and height of the rough opening in decimal feet.</t>
  </si>
  <si>
    <t>For Heat Gain</t>
  </si>
  <si>
    <t>* Enter values for the width and height of the rough opening and the overhang dimensions (X &amp; Y) in decimal feet.</t>
  </si>
  <si>
    <t>* Use the "look-up" menu in the Cooling column to list the skylights and to select exposure directions.</t>
  </si>
  <si>
    <r>
      <t>Note:</t>
    </r>
    <r>
      <rPr>
        <sz val="9"/>
        <color indexed="10"/>
        <rFont val="Arial"/>
        <family val="2"/>
      </rPr>
      <t xml:space="preserve"> For heating-only, leave the cooling column selections blank. </t>
    </r>
  </si>
  <si>
    <t>Population Instructions for Windows, Glass Doors and Skylights</t>
  </si>
  <si>
    <t>1) Input values are entered in the white cells (as requested by column headings; notes provide additional guidance).</t>
  </si>
  <si>
    <t>2) Input values for windows and glass doors are extracted from Table 2A and Table 3A in the printed MJ8ae book; Table 3C applies to skylights.</t>
  </si>
  <si>
    <t>3) Begin with Table 2A (the construction number applies to heating and cooling, the U-value applies to heating).</t>
  </si>
  <si>
    <t>* Construction attributes are extracted from plans or by site inspection.</t>
  </si>
  <si>
    <t>* The construction number and U-value are extracted from Table 2A.</t>
  </si>
  <si>
    <t>* For example</t>
  </si>
  <si>
    <t>* You can enter up to 5 different skylight types for heat loss</t>
  </si>
  <si>
    <t>4) Refer to Table 3A for cooling HTM values for windows and glass doors.</t>
  </si>
  <si>
    <t>* You can enter up to 5 different glass types for vertical glass heat gain</t>
  </si>
  <si>
    <t>5) Refer to Table 3C for cooling HTM values for skylights</t>
  </si>
  <si>
    <t>* You can enter up to 5 different glass types for skylight heat gain</t>
  </si>
  <si>
    <t>Notes</t>
  </si>
  <si>
    <t xml:space="preserve">Mfg. Equipment Sensible Heat Ratio </t>
  </si>
  <si>
    <t>ACCA
Manual D
CFM</t>
  </si>
  <si>
    <t>Construction Attributes for Windows and Glass Doors</t>
  </si>
  <si>
    <t>* Default glass type = clear (for all MJ8ae applications)</t>
  </si>
  <si>
    <t>* Number of panes = single, double or triple</t>
  </si>
  <si>
    <t>* Type of sash = fixed or operable</t>
  </si>
  <si>
    <t>* Type of frame = Metal, no break; metal with break; wood (clad wood or vinyl = wood)</t>
  </si>
  <si>
    <t>* Type of internal shade = None; Blinds @ 45 deg.; Drape or Roller Shade, half drawn</t>
  </si>
  <si>
    <t>* Mandatory default for internal shade = Blinds @ 45 deg (no shade for day-light window).</t>
  </si>
  <si>
    <t>Construction Attributes for Skylights</t>
  </si>
  <si>
    <t>* Default glass type = flat clear (for all MJ8ae applications)</t>
  </si>
  <si>
    <t>* Default glazing shape = flat (for all MJ8ae applications)</t>
  </si>
  <si>
    <t>* Type of sash = Metal, no break; metal with break; wood (clad wood or vinyl = wood)</t>
  </si>
  <si>
    <t>* Default curb attributes = Uninsulated wood 2x4 (for all MJ8ae applications)</t>
  </si>
  <si>
    <t>* Default curb size = Small (for all MJ8ae applications -- see Table 2B-4)</t>
  </si>
  <si>
    <t>Population Instructions for Wood and Metal Doors</t>
  </si>
  <si>
    <t>2) Input values for wood and metal doors are extracted from Table 4A (Construction #11) in the printed MJ8ae book.</t>
  </si>
  <si>
    <t>Door Glass</t>
  </si>
  <si>
    <t>* Ignore door glass if the glass area is less than 51 percent of the door area.</t>
  </si>
  <si>
    <t xml:space="preserve">* Classify as a French door (under the "Glass" tab if the glass area exceeds </t>
  </si>
  <si>
    <t xml:space="preserve">   50 percent of the door area.</t>
  </si>
  <si>
    <t>Population Instructions for Walls and Partitions</t>
  </si>
  <si>
    <t>2) Input values for above grade walls, partitions and below grade walls are extracted from Table 4A in the printed MJ8ae book.</t>
  </si>
  <si>
    <t>3) You can enter up to 10 different above grade wall types (construction numbers 12, 13 and the above grade potion of number 15).</t>
  </si>
  <si>
    <t>4) You can enter up to 5 different partition walls (construction numbers 12 and 13).</t>
  </si>
  <si>
    <t>* The construction number and U-value are extracted from Table 4A.</t>
  </si>
  <si>
    <t>* Values for PTDH and PTDC are obtained from Table 4C or by personnel observations or experience (leave PTDC blank for heating-only).</t>
  </si>
  <si>
    <t>5) You can enter up to 5 different below grade walls (construction number 15).</t>
  </si>
  <si>
    <t>Construction Attributes for Walls</t>
  </si>
  <si>
    <t>* Wall type = Frame with wood studs or block with open cores (for MJ8ae applications)</t>
  </si>
  <si>
    <t>* Board R = Insulation board R-value (thin plywood or particle board, etc. sheathing = R0)</t>
  </si>
  <si>
    <t>* Cavity R = R-value of insulation in stud cavity</t>
  </si>
  <si>
    <t>* Exterior finish = Brick or siding (stucco = siding; no finish for below grade wall)</t>
  </si>
  <si>
    <t>* Unshaded wall exposed to outdoor air (uses "Wall" CLTD, Table 4B).</t>
  </si>
  <si>
    <t>* Wall always shaded and exposed to outdoor air (uses "Shaded Wall" CLTD, Table 4B).</t>
  </si>
  <si>
    <t xml:space="preserve">* Garage partition: Classify as "Shaded Wall" if the overhead door is normally open. </t>
  </si>
  <si>
    <t>► Lookup construction type of partition floors from user populated Floors table</t>
  </si>
  <si>
    <t>► Lookup construction type of slab on grade floors from user populated Floors table</t>
  </si>
  <si>
    <t>► Lookup construction type of exposed floors from user populated Floors table</t>
  </si>
  <si>
    <t>► Lookup construction type of partition ceilings from user populated Ceilings table</t>
  </si>
  <si>
    <t>Version MJ8ae 1.15 05MAR07</t>
  </si>
  <si>
    <t>Fixed errors and ommissions on Summary Tab</t>
  </si>
  <si>
    <t>► Lookup construction type of exposed ceilings from user populated Ceilings table</t>
  </si>
  <si>
    <t>► Lookup construction type of below grade walls from user populated Walls table</t>
  </si>
  <si>
    <t>► Lookup construction type of partition walls from user populated Walls table</t>
  </si>
  <si>
    <t>► Lookup construction type of above grade walls from user populated Walls table</t>
  </si>
  <si>
    <t>► Lookup construction type of glass heating from user populated Glass table</t>
  </si>
  <si>
    <t>► Lookup construction type of glass cooling from user populated Glass table</t>
  </si>
  <si>
    <t>Overhang Adjustment</t>
  </si>
  <si>
    <r>
      <t xml:space="preserve">♦ </t>
    </r>
    <r>
      <rPr>
        <b/>
        <u/>
        <sz val="9"/>
        <color indexed="9"/>
        <rFont val="Arial"/>
        <family val="2"/>
      </rPr>
      <t>J1 Form Tab</t>
    </r>
  </si>
  <si>
    <r>
      <t xml:space="preserve">♦ </t>
    </r>
    <r>
      <rPr>
        <b/>
        <u/>
        <sz val="9"/>
        <color indexed="9"/>
        <rFont val="Arial"/>
        <family val="2"/>
      </rPr>
      <t>Glass Schedule Tab</t>
    </r>
  </si>
  <si>
    <t>● Enter the installed Supply Duct Surface Area or Enter 1 for the Default</t>
  </si>
  <si>
    <t>● Enter the installed Return Duct Surface Area or Enter 1 for the Default</t>
  </si>
  <si>
    <t>● Enter the heated floor area (square feet) and above grade area (cubic feet)</t>
  </si>
  <si>
    <t>● Enter the cooled floor area (square feet) and above grade area (cubic feet)</t>
  </si>
  <si>
    <t>● Enter the room or zone name</t>
  </si>
  <si>
    <t>► Lookup construction type of doors from user populated Doors table</t>
  </si>
  <si>
    <r>
      <t xml:space="preserve">♦ </t>
    </r>
    <r>
      <rPr>
        <b/>
        <u/>
        <sz val="9"/>
        <color indexed="9"/>
        <rFont val="Arial"/>
        <family val="2"/>
      </rPr>
      <t>J1 Form Tab (continued)</t>
    </r>
  </si>
  <si>
    <t>templates to minimize data selection for future load calculations.</t>
  </si>
  <si>
    <r>
      <t xml:space="preserve">select from these options using lookup tables on the </t>
    </r>
    <r>
      <rPr>
        <b/>
        <sz val="10"/>
        <rFont val="Arial"/>
        <family val="2"/>
      </rPr>
      <t>J1 Form</t>
    </r>
    <r>
      <rPr>
        <sz val="10"/>
        <rFont val="Arial"/>
        <family val="2"/>
      </rPr>
      <t xml:space="preserve"> and </t>
    </r>
    <r>
      <rPr>
        <b/>
        <sz val="10"/>
        <rFont val="Arial"/>
        <family val="2"/>
      </rPr>
      <t>Glass Schedule</t>
    </r>
    <r>
      <rPr>
        <sz val="10"/>
        <rFont val="Arial"/>
        <family val="2"/>
      </rPr>
      <t xml:space="preserve"> to create default</t>
    </r>
  </si>
  <si>
    <t>Version MJ8ae 1.00 14FEB05</t>
  </si>
  <si>
    <t>Initial Release</t>
  </si>
  <si>
    <t>Version MJ8ae 1.01 28APR05</t>
  </si>
  <si>
    <t>Version MJ8ae 1.03 10SEP05</t>
  </si>
  <si>
    <t>Version MJ8ae 1.02 06JUL05</t>
  </si>
  <si>
    <t>Release Notes:</t>
  </si>
  <si>
    <t>Fixed Formatting Issues</t>
  </si>
  <si>
    <t>Fixed Bug in Glass Schedule</t>
  </si>
  <si>
    <t>Added Home Tab (Introduction and General Information</t>
  </si>
  <si>
    <t>Added Release Notes Tab</t>
  </si>
  <si>
    <t>Added Print Option Buttons to J1 Form</t>
  </si>
  <si>
    <t>Windows &amp; Glass Door construction types are automatic from the Glass Schedule Lookups</t>
  </si>
  <si>
    <t>Skylight construction types are automatic from the Glass Schedule Lookups</t>
  </si>
  <si>
    <t>a</t>
  </si>
  <si>
    <t>b</t>
  </si>
  <si>
    <t>c</t>
  </si>
  <si>
    <t>d</t>
  </si>
  <si>
    <t>e</t>
  </si>
  <si>
    <t>HTM</t>
  </si>
  <si>
    <t>f</t>
  </si>
  <si>
    <t>Heating</t>
  </si>
  <si>
    <t>g</t>
  </si>
  <si>
    <t>Skylights</t>
  </si>
  <si>
    <t>Ceilings</t>
  </si>
  <si>
    <t>Infiltration</t>
  </si>
  <si>
    <t>Sub Totals</t>
  </si>
  <si>
    <t>Internal Gains</t>
  </si>
  <si>
    <t>Area</t>
  </si>
  <si>
    <t>U-Value</t>
  </si>
  <si>
    <t>CLTD</t>
  </si>
  <si>
    <t>Cooling</t>
  </si>
  <si>
    <t>HTD</t>
  </si>
  <si>
    <t>Grains</t>
  </si>
  <si>
    <t>ACF</t>
  </si>
  <si>
    <t>S</t>
  </si>
  <si>
    <t>Ventilation</t>
  </si>
  <si>
    <t>Net</t>
  </si>
  <si>
    <t>99% db</t>
  </si>
  <si>
    <t>1% db</t>
  </si>
  <si>
    <t>Metal</t>
  </si>
  <si>
    <t>Doors</t>
  </si>
  <si>
    <t>Lat</t>
  </si>
  <si>
    <t>Design</t>
  </si>
  <si>
    <t>Calculated CLTD</t>
  </si>
  <si>
    <t>Group</t>
  </si>
  <si>
    <t>K</t>
  </si>
  <si>
    <t>A</t>
  </si>
  <si>
    <t>B</t>
  </si>
  <si>
    <t>C</t>
  </si>
  <si>
    <t>D</t>
  </si>
  <si>
    <t>E</t>
  </si>
  <si>
    <t>F</t>
  </si>
  <si>
    <t>G</t>
  </si>
  <si>
    <t>H</t>
  </si>
  <si>
    <t>I</t>
  </si>
  <si>
    <t>J</t>
  </si>
  <si>
    <t>Row</t>
  </si>
  <si>
    <t>Col</t>
  </si>
  <si>
    <t>N</t>
  </si>
  <si>
    <t>Appliance - 1200 BTUH</t>
  </si>
  <si>
    <t>Appliance - 2400 BTUH</t>
  </si>
  <si>
    <t>Walls</t>
  </si>
  <si>
    <t>Wood &amp;</t>
  </si>
  <si>
    <t>Walls-Above Grade</t>
  </si>
  <si>
    <t>Floors</t>
  </si>
  <si>
    <t>Plants - Medium</t>
  </si>
  <si>
    <t>Plants - Small</t>
  </si>
  <si>
    <t>Plants - Large</t>
  </si>
  <si>
    <t>Htg</t>
  </si>
  <si>
    <t>Clg</t>
  </si>
  <si>
    <t>Manufacturer's performance data has blower heat discount</t>
  </si>
  <si>
    <t>Manufacturer's performance data has no blower heat discount</t>
  </si>
  <si>
    <t>SLM Value</t>
  </si>
  <si>
    <t>#1</t>
  </si>
  <si>
    <t>#2</t>
  </si>
  <si>
    <t>#3</t>
  </si>
  <si>
    <t>#4</t>
  </si>
  <si>
    <t>#5</t>
  </si>
  <si>
    <t>#6</t>
  </si>
  <si>
    <t>#7</t>
  </si>
  <si>
    <t>#8</t>
  </si>
  <si>
    <t>#9</t>
  </si>
  <si>
    <t>#10</t>
  </si>
  <si>
    <t>#11</t>
  </si>
  <si>
    <t>#12</t>
  </si>
  <si>
    <t>NE/NW</t>
  </si>
  <si>
    <t>E/W</t>
  </si>
  <si>
    <t>SE/SW</t>
  </si>
  <si>
    <t>Blower Heat Gain</t>
  </si>
  <si>
    <t>Shade Line (Z) = (X x SLM)</t>
  </si>
  <si>
    <t>Unshaded glass height (U) = (H - S)</t>
  </si>
  <si>
    <t>Shaded area (S x W)</t>
  </si>
  <si>
    <t>Walls-Shaded</t>
  </si>
  <si>
    <t>* Click on the Shaded Wall lookup value "Yes" if the wall is exposed to the outdoor air and shaded by a roof or overhang.</t>
  </si>
  <si>
    <t>* The construction number, U-value and group number are extracted from Table 4A (leave group number blank for heating-only).</t>
  </si>
  <si>
    <t>Construction Number 19 -- Floor Over Enclosed Unconditioned Crawlspace or Basement</t>
  </si>
  <si>
    <t>Construction Number 20 -- Floor Over Open Crawlspace or Garage</t>
  </si>
  <si>
    <t>Fixed Partition Ceiling Drop Down Lookup</t>
  </si>
  <si>
    <t>Const 20</t>
  </si>
  <si>
    <t>F-Value</t>
  </si>
  <si>
    <t>Basement Floor</t>
  </si>
  <si>
    <t>4) You can enter up to 3 different exposed floors.</t>
  </si>
  <si>
    <t>5) You can enter up to 3 different partition floors.</t>
  </si>
  <si>
    <t>Construction Number; Door Type; Core Insulation</t>
  </si>
  <si>
    <t>Construction Number; Floor Type; Insulation R-Value; Floor Cover</t>
  </si>
  <si>
    <t>Construction Number, Floor Type; Insulation R-Value; Floor Cover</t>
  </si>
  <si>
    <t>Construction Number, Floor Type; Insulation; R-Value; Slab Width</t>
  </si>
  <si>
    <t>Construction Number, Floor Type; Insulation; R-Value; Soil Type</t>
  </si>
  <si>
    <t>Construction Number; Ceiling R-Value, Partition</t>
  </si>
  <si>
    <t>Construction Number; Wall Type; Board R; Cavity R, Exterior Finish</t>
  </si>
  <si>
    <t>12B-0bw, Frame, R0 board, R11 cavity, Brick</t>
  </si>
  <si>
    <t>13C-2oc, OC Block, R2 Board, R13 Cavity, Any finish, Car port</t>
  </si>
  <si>
    <t>15A-11-0ocw-6, OC Block + studs, R2 board, R11 cavity, Above grade area</t>
  </si>
  <si>
    <t>15A-11-0ocw-6, OC Block + studs, R2 board, R11 cavity, 6 feet</t>
  </si>
  <si>
    <t>Fixed Latent Calculations for Negative Design Grains</t>
  </si>
  <si>
    <t>Version MJ8ae 1.13 29NOV06</t>
  </si>
  <si>
    <t>Construction Number; Wall Type; Board R; Cavity R, Basement floor depth</t>
  </si>
  <si>
    <t>Construction Number; Wall Type; Board R; Cavity R, Finish</t>
  </si>
  <si>
    <t>16B; R19; Partition</t>
  </si>
  <si>
    <t>19A-11p; Crawlspace floor; R11 floor: Any Cover</t>
  </si>
  <si>
    <t>20p-30; Exposed floor; R30; Any cover</t>
  </si>
  <si>
    <t>19A-11p; Partition floor; R11 floor; Any Cover</t>
  </si>
  <si>
    <t>21A-32; Basement floor; R0; 32 feet</t>
  </si>
  <si>
    <t>22B-10ph; Slab floor; R10; heavy moist</t>
  </si>
  <si>
    <t>Construction Number; Glass Type; Number of Panes; Type of Sash; Type of Frame</t>
  </si>
  <si>
    <t>1C-cm, Clear, Single Pane / Storm, Operable, Metal no Break</t>
  </si>
  <si>
    <t>Construction Number; Glass Type; Number of Panes; Type of Sash</t>
  </si>
  <si>
    <t>8Bc-4, Flat Clear, Double Pane, Wood</t>
  </si>
  <si>
    <t>Glass Type; Number of Panes; Type of Internal Shade; Rounded CTD</t>
  </si>
  <si>
    <t>Double Pane; Clear; Horiz. Blinds @ 45 Deg; 15</t>
  </si>
  <si>
    <t>Glass Type; Number of Panes; Tilt Angle; Rounded CTD</t>
  </si>
  <si>
    <t>Double Pane, Clear, 30 Deg; 15</t>
  </si>
  <si>
    <t>Construction Number; R-Value; Partition</t>
  </si>
  <si>
    <t>11</t>
  </si>
  <si>
    <t>Unshaded area (U x W)</t>
  </si>
  <si>
    <t>Shaded glass height (S) = (Z - Y)</t>
  </si>
  <si>
    <t>None</t>
  </si>
  <si>
    <t>Bug Screen</t>
  </si>
  <si>
    <t>Bay Window</t>
  </si>
  <si>
    <t>Garden Window</t>
  </si>
  <si>
    <t>French Door</t>
  </si>
  <si>
    <t>Envelope</t>
  </si>
  <si>
    <t>Fireplace</t>
  </si>
  <si>
    <t>Sq. Ft.</t>
  </si>
  <si>
    <t>Total Sensible Loss or Gain</t>
  </si>
  <si>
    <t>Total Latent Gain</t>
  </si>
  <si>
    <t>FP CFM</t>
  </si>
  <si>
    <t>7D</t>
  </si>
  <si>
    <t>7A</t>
  </si>
  <si>
    <t>7B</t>
  </si>
  <si>
    <t>7C</t>
  </si>
  <si>
    <t>R2</t>
  </si>
  <si>
    <t>R4</t>
  </si>
  <si>
    <t>R6</t>
  </si>
  <si>
    <t>R8</t>
  </si>
  <si>
    <t>Leakage Class .06/.06</t>
  </si>
  <si>
    <t>Leakage Class .09/.15</t>
  </si>
  <si>
    <t>Leakage Class .12/.24</t>
  </si>
  <si>
    <t>Leakage Class .24/.47</t>
  </si>
  <si>
    <t>Leakage Class .35/.70</t>
  </si>
  <si>
    <t>Slab (Perimeter Ft.)</t>
  </si>
  <si>
    <t>Sens</t>
  </si>
  <si>
    <t>Type</t>
  </si>
  <si>
    <t>Construction Number 22, Concrete Slab-On-Grade</t>
  </si>
  <si>
    <t>Construction Number 21, Basement Floor</t>
  </si>
  <si>
    <t>6A</t>
  </si>
  <si>
    <t>6B</t>
  </si>
  <si>
    <t>Limitations and Guidelines</t>
  </si>
  <si>
    <t>Procedural Defaults</t>
  </si>
  <si>
    <t>Design Conditions</t>
  </si>
  <si>
    <t>Windows and Glass Doors</t>
  </si>
  <si>
    <t>Wood and Metal Doors</t>
  </si>
  <si>
    <t>Ceilings and Attic Knee Walls</t>
  </si>
  <si>
    <t>Duct Systems</t>
  </si>
  <si>
    <t>Engineered Ventilation</t>
  </si>
  <si>
    <t>Blower Heat</t>
  </si>
  <si>
    <t>Application</t>
  </si>
  <si>
    <r>
      <t xml:space="preserve">Preserve the integrity of the original CD file. Make a folder on your hard drive named C:\MJ8. Copy the blank Microsoft Excel® workbook from the CD to the folder. Open the C:\MJ8 folder and open the blank workbook and "save as," using a unique filename (Nashville-Replacements, for example). Then click on the </t>
    </r>
    <r>
      <rPr>
        <i/>
        <sz val="9"/>
        <rFont val="Arial"/>
        <family val="2"/>
      </rPr>
      <t>J1 Form</t>
    </r>
    <r>
      <rPr>
        <sz val="9"/>
        <rFont val="Arial"/>
        <family val="2"/>
      </rPr>
      <t xml:space="preserve"> tab and follow these instructions:</t>
    </r>
  </si>
  <si>
    <r>
      <t xml:space="preserve">The Header portion of the </t>
    </r>
    <r>
      <rPr>
        <i/>
        <sz val="9"/>
        <rFont val="Arial"/>
        <family val="2"/>
      </rPr>
      <t>J1 Form</t>
    </r>
    <r>
      <rPr>
        <sz val="9"/>
        <rFont val="Arial"/>
        <family val="2"/>
      </rPr>
      <t xml:space="preserve"> tab (top left corner) must be populated with design conditions for your geographical region.</t>
    </r>
  </si>
  <si>
    <r>
      <t xml:space="preserve">A heat loss and heat gain estimate is the mandatory first-step in the system design process. This information is used to select heating and cooling equipment. This information and the information provided by equipment manufacturer performance data is used to determine system airflow rate and room airflow rates, supply outlet and return grille sizes and duct sizes (per </t>
    </r>
    <r>
      <rPr>
        <b/>
        <i/>
        <sz val="10"/>
        <rFont val="Times New Roman"/>
        <family val="1"/>
      </rPr>
      <t>Manual S, D</t>
    </r>
    <r>
      <rPr>
        <sz val="10"/>
        <rFont val="Times New Roman"/>
        <family val="1"/>
      </rPr>
      <t xml:space="preserve"> and </t>
    </r>
    <r>
      <rPr>
        <b/>
        <i/>
        <sz val="10"/>
        <rFont val="Times New Roman"/>
        <family val="1"/>
      </rPr>
      <t>T</t>
    </r>
    <r>
      <rPr>
        <sz val="10"/>
        <rFont val="Times New Roman"/>
        <family val="1"/>
      </rPr>
      <t xml:space="preserve"> protocols).</t>
    </r>
  </si>
  <si>
    <t>Comfort and Air Quality</t>
  </si>
  <si>
    <t>Hand Calculations</t>
  </si>
  <si>
    <t>The tables and equations in this guide are a subset of the tables and equations provided by the unabridged edition of Manual J. This simplification produces a procedure that can be performed without the aid of a computer. A computer is strongly recommended for full, unrestricted applications of Manual J (refer to www.acca.org for recommended third-party software recognized by ACCA).</t>
  </si>
  <si>
    <r>
      <t>MJ8</t>
    </r>
    <r>
      <rPr>
        <b/>
        <vertAlign val="subscript"/>
        <sz val="10"/>
        <rFont val="Times New Roman"/>
        <family val="1"/>
      </rPr>
      <t>AE</t>
    </r>
    <r>
      <rPr>
        <b/>
        <sz val="10"/>
        <rFont val="Times New Roman"/>
        <family val="1"/>
      </rPr>
      <t xml:space="preserve"> Capabilities and Sensitivities</t>
    </r>
  </si>
  <si>
    <r>
      <t xml:space="preserve">Incorrect system design procedures (or installation, commissioning, maintenance and operating practices) may cause comfort and air quality problems. Individuals and organizations not familiar with </t>
    </r>
    <r>
      <rPr>
        <b/>
        <i/>
        <sz val="10"/>
        <rFont val="Times New Roman"/>
        <family val="1"/>
      </rPr>
      <t>Manual J, Manual S</t>
    </r>
    <r>
      <rPr>
        <sz val="10"/>
        <rFont val="Times New Roman"/>
        <family val="1"/>
      </rPr>
      <t xml:space="preserve"> and </t>
    </r>
    <r>
      <rPr>
        <b/>
        <i/>
        <sz val="10"/>
        <rFont val="Times New Roman"/>
        <family val="1"/>
      </rPr>
      <t>Manual D</t>
    </r>
    <r>
      <rPr>
        <sz val="10"/>
        <rFont val="Times New Roman"/>
        <family val="1"/>
      </rPr>
      <t xml:space="preserve"> procedures tend to assume the problem is caused by equipment that is too small. This is normally not the case. See Appendix 7 (Trouble Shooting) for more information on this subject.</t>
    </r>
  </si>
  <si>
    <t>Heating BTUH</t>
  </si>
  <si>
    <t>Cooling Shaded BTUH</t>
  </si>
  <si>
    <t>Cooling Unshaded BTUH</t>
  </si>
  <si>
    <t>HTM
Adj.</t>
  </si>
  <si>
    <t>#</t>
  </si>
  <si>
    <t>Glass</t>
  </si>
  <si>
    <t>CTD</t>
  </si>
  <si>
    <t>Medium</t>
  </si>
  <si>
    <t>Latent load for duct in unconditioned space</t>
  </si>
  <si>
    <t>Small</t>
  </si>
  <si>
    <t>Large</t>
  </si>
  <si>
    <t>Room--&gt;</t>
  </si>
  <si>
    <t>Latent Infiltration load for cooling</t>
  </si>
  <si>
    <t>Latent load for occupants</t>
  </si>
  <si>
    <t>Latent ventilation load for cooling</t>
  </si>
  <si>
    <t>R-Value = 6</t>
  </si>
  <si>
    <t>R-Value = 2</t>
  </si>
  <si>
    <t>R-Value = 4</t>
  </si>
  <si>
    <t>R-Value = 8</t>
  </si>
  <si>
    <t>Windows</t>
  </si>
  <si>
    <t>&amp; Glass</t>
  </si>
  <si>
    <t>Direction</t>
  </si>
  <si>
    <t>Htg
HTM</t>
  </si>
  <si>
    <t>Direction Glass
Faces</t>
  </si>
  <si>
    <t>Clg
Unshaded
HTM</t>
  </si>
  <si>
    <t>Clg
Shaded
HTM</t>
  </si>
  <si>
    <t>Clg
HTM
Adj.</t>
  </si>
  <si>
    <t>Clg
HTM
Adjustment</t>
  </si>
  <si>
    <t>Clg
Avg
HTM</t>
  </si>
  <si>
    <t xml:space="preserve">Project </t>
  </si>
  <si>
    <t>HTG CFM</t>
  </si>
  <si>
    <t>CLG CFM</t>
  </si>
  <si>
    <r>
      <t>MANUAL J8</t>
    </r>
    <r>
      <rPr>
        <b/>
        <vertAlign val="subscript"/>
        <sz val="9"/>
        <rFont val="Arial"/>
        <family val="2"/>
      </rPr>
      <t>AE</t>
    </r>
    <r>
      <rPr>
        <b/>
        <sz val="9"/>
        <rFont val="Arial"/>
        <family val="2"/>
      </rPr>
      <t xml:space="preserve">  ●</t>
    </r>
    <r>
      <rPr>
        <b/>
        <sz val="7.75"/>
        <rFont val="Arial"/>
        <family val="2"/>
      </rPr>
      <t xml:space="preserve">  </t>
    </r>
    <r>
      <rPr>
        <b/>
        <sz val="9"/>
        <rFont val="Arial"/>
        <family val="2"/>
      </rPr>
      <t>SUMMARY REPORT</t>
    </r>
  </si>
  <si>
    <t>Basement Floors</t>
  </si>
  <si>
    <t xml:space="preserve">     * Use the check boxes (in the blue cells) to activate a duct load for heating and/or a duct load for cooling (there is no duct load if the box is not checked).</t>
  </si>
  <si>
    <t xml:space="preserve">     * Enter the square feet of exposed (to unconditioned space) duct surface area for the supply- and return-sides of the duct system (or enter 1 for the default values).   </t>
  </si>
  <si>
    <t>Enter the job name in the project cell (J1 Form tab), verify location and design conditions; then save the file with the project name.</t>
  </si>
  <si>
    <t>Location</t>
  </si>
  <si>
    <t>99%db</t>
  </si>
  <si>
    <t>wb</t>
  </si>
  <si>
    <t>DR</t>
  </si>
  <si>
    <t>Alabama</t>
  </si>
  <si>
    <t>Alaska</t>
  </si>
  <si>
    <t>Alexander City</t>
  </si>
  <si>
    <t>Adak, NAS</t>
  </si>
  <si>
    <t>Douglas AP</t>
  </si>
  <si>
    <t>Blytheville AFB</t>
  </si>
  <si>
    <t>Alameda, NAS</t>
  </si>
  <si>
    <t>Alamosa AP</t>
  </si>
  <si>
    <t>Bridgeport AP</t>
  </si>
  <si>
    <t>Dover AFB</t>
  </si>
  <si>
    <t>Andrews AFB</t>
  </si>
  <si>
    <t xml:space="preserve">Apalachicola </t>
  </si>
  <si>
    <t>Ewa, Barbers Point NAS</t>
  </si>
  <si>
    <t>Boise AP</t>
  </si>
  <si>
    <t xml:space="preserve">Aurora </t>
  </si>
  <si>
    <t xml:space="preserve">Anderson </t>
  </si>
  <si>
    <t xml:space="preserve">Ames </t>
  </si>
  <si>
    <t xml:space="preserve">Atchison </t>
  </si>
  <si>
    <t xml:space="preserve">Ashland </t>
  </si>
  <si>
    <t>Alexandria AP</t>
  </si>
  <si>
    <t>Augusta AP</t>
  </si>
  <si>
    <t>Balitimore AP</t>
  </si>
  <si>
    <t>Boston AP</t>
  </si>
  <si>
    <t>Adrian 798</t>
  </si>
  <si>
    <t>Albert Lea</t>
  </si>
  <si>
    <t>Biloxi, Keesler AFB</t>
  </si>
  <si>
    <t>Cape Girardeau</t>
  </si>
  <si>
    <t>Billings AP</t>
  </si>
  <si>
    <t xml:space="preserve">Beatrice </t>
  </si>
  <si>
    <t>Carson City</t>
  </si>
  <si>
    <t xml:space="preserve">Berlin </t>
  </si>
  <si>
    <t>Atlantic City CO</t>
  </si>
  <si>
    <t>Alamagordo Holloman AFB</t>
  </si>
  <si>
    <t>Albany AP</t>
  </si>
  <si>
    <t>Asheville AP</t>
  </si>
  <si>
    <t>Bismark AP</t>
  </si>
  <si>
    <t>Akron-Canton AP</t>
  </si>
  <si>
    <t xml:space="preserve">Ada </t>
  </si>
  <si>
    <t xml:space="preserve">Albany </t>
  </si>
  <si>
    <t>Allentown AP</t>
  </si>
  <si>
    <t xml:space="preserve">Newport </t>
  </si>
  <si>
    <t>Aberdeen AP</t>
  </si>
  <si>
    <t xml:space="preserve">Athens </t>
  </si>
  <si>
    <t>Abilene AP</t>
  </si>
  <si>
    <t>Cedar City AP</t>
  </si>
  <si>
    <t xml:space="preserve">Barre </t>
  </si>
  <si>
    <t xml:space="preserve">Charlottsville </t>
  </si>
  <si>
    <t xml:space="preserve">Aberdeen </t>
  </si>
  <si>
    <t xml:space="preserve">Beckley </t>
  </si>
  <si>
    <t xml:space="preserve">Appleton </t>
  </si>
  <si>
    <t>Big Piney</t>
  </si>
  <si>
    <t>Database</t>
  </si>
  <si>
    <t>Arizona</t>
  </si>
  <si>
    <t>Anniston AP</t>
  </si>
  <si>
    <t>Anchorage IAP</t>
  </si>
  <si>
    <t>Flagstaff Ap</t>
  </si>
  <si>
    <t xml:space="preserve">Camden </t>
  </si>
  <si>
    <t>Bakersfield AP</t>
  </si>
  <si>
    <t xml:space="preserve">Boulder </t>
  </si>
  <si>
    <t>Hartford, Brainard Field</t>
  </si>
  <si>
    <t>Wilmington AP</t>
  </si>
  <si>
    <t>Reagan National AP</t>
  </si>
  <si>
    <t>Belle Glade</t>
  </si>
  <si>
    <t xml:space="preserve">Americus </t>
  </si>
  <si>
    <t>Hilo AP</t>
  </si>
  <si>
    <t xml:space="preserve">Burley </t>
  </si>
  <si>
    <t>Belleville, Scott AFB</t>
  </si>
  <si>
    <t xml:space="preserve">Bedford </t>
  </si>
  <si>
    <t>Burlington AP</t>
  </si>
  <si>
    <t>Chante AP</t>
  </si>
  <si>
    <t>Bowling Green AP</t>
  </si>
  <si>
    <t>Baton Rouge AP</t>
  </si>
  <si>
    <t>Bangor, Dow AFB</t>
  </si>
  <si>
    <t>Balitimore CO</t>
  </si>
  <si>
    <t xml:space="preserve">Clinton </t>
  </si>
  <si>
    <t>Alpena AP</t>
  </si>
  <si>
    <t xml:space="preserve">Clarksdale </t>
  </si>
  <si>
    <t>Columbia AP</t>
  </si>
  <si>
    <t xml:space="preserve">Bozeman </t>
  </si>
  <si>
    <t>Bellevue, Offutt AFB</t>
  </si>
  <si>
    <t>Elko AP</t>
  </si>
  <si>
    <t xml:space="preserve">Claremont </t>
  </si>
  <si>
    <t>Long Branch</t>
  </si>
  <si>
    <t>Albuquerque AP</t>
  </si>
  <si>
    <t>Albany CO</t>
  </si>
  <si>
    <t>Cape Hatteras</t>
  </si>
  <si>
    <t>Devil’s Lake</t>
  </si>
  <si>
    <t xml:space="preserve">Ashtabula </t>
  </si>
  <si>
    <t>Altus AFB</t>
  </si>
  <si>
    <t>Astoria AP</t>
  </si>
  <si>
    <t>Altoona CO</t>
  </si>
  <si>
    <t>Providence AP</t>
  </si>
  <si>
    <t>Beaufort, MCAS</t>
  </si>
  <si>
    <t xml:space="preserve">Brookings </t>
  </si>
  <si>
    <t>Bristol-Tri City AP</t>
  </si>
  <si>
    <t>Alice AP</t>
  </si>
  <si>
    <t xml:space="preserve">Logan </t>
  </si>
  <si>
    <t>Danville AP</t>
  </si>
  <si>
    <t>Bellingham AP</t>
  </si>
  <si>
    <t>Bluefield AP</t>
  </si>
  <si>
    <t>Casper AP</t>
  </si>
  <si>
    <t>Alabama, Alexander City</t>
  </si>
  <si>
    <t>M</t>
  </si>
  <si>
    <t>Arkansas</t>
  </si>
  <si>
    <t xml:space="preserve">Auburn </t>
  </si>
  <si>
    <t>Anchorage, Elemendorf AFB</t>
  </si>
  <si>
    <t>Fort Huachuca AP</t>
  </si>
  <si>
    <t>El Dorado AP</t>
  </si>
  <si>
    <t xml:space="preserve">Barstow </t>
  </si>
  <si>
    <t>Colarado Springs AP</t>
  </si>
  <si>
    <t>New Haven AP</t>
  </si>
  <si>
    <t>Cape Kennedy AP</t>
  </si>
  <si>
    <t>Honolulu AP</t>
  </si>
  <si>
    <t>Coeur D’Alene AP</t>
  </si>
  <si>
    <t xml:space="preserve">Bloomington </t>
  </si>
  <si>
    <t>Cedar Rapids AP</t>
  </si>
  <si>
    <t xml:space="preserve">Concordia </t>
  </si>
  <si>
    <t>Corbin AP</t>
  </si>
  <si>
    <t xml:space="preserve">Bogalusa </t>
  </si>
  <si>
    <t>Brunswick, NAS</t>
  </si>
  <si>
    <t xml:space="preserve">Cumberland </t>
  </si>
  <si>
    <t>East Falmouth, Otis ANGB</t>
  </si>
  <si>
    <t>Battle Creek AP</t>
  </si>
  <si>
    <t>Bemidji AP</t>
  </si>
  <si>
    <t>Columbus AFB</t>
  </si>
  <si>
    <t>Farmington AP</t>
  </si>
  <si>
    <t>Butte AP</t>
  </si>
  <si>
    <t>Chadron AP</t>
  </si>
  <si>
    <t>Ely AP</t>
  </si>
  <si>
    <t>Concord AP</t>
  </si>
  <si>
    <t xml:space="preserve">Millville </t>
  </si>
  <si>
    <t xml:space="preserve">Artesia </t>
  </si>
  <si>
    <t>Charlotte AP</t>
  </si>
  <si>
    <t>Dickinson AP</t>
  </si>
  <si>
    <t xml:space="preserve">Ardmore </t>
  </si>
  <si>
    <t>Baker AP</t>
  </si>
  <si>
    <t xml:space="preserve">Bradford </t>
  </si>
  <si>
    <t>Charleston AFB</t>
  </si>
  <si>
    <t xml:space="preserve">Chamberlain </t>
  </si>
  <si>
    <t>Chattanooga AP</t>
  </si>
  <si>
    <t>Amarillo AP</t>
  </si>
  <si>
    <t xml:space="preserve">Moab </t>
  </si>
  <si>
    <t>Montpelier/ Barre</t>
  </si>
  <si>
    <t>Fort Belvoir</t>
  </si>
  <si>
    <t xml:space="preserve">Bremerton </t>
  </si>
  <si>
    <t>Charleston AP</t>
  </si>
  <si>
    <t xml:space="preserve">Beloit </t>
  </si>
  <si>
    <t>Cheyene AP</t>
  </si>
  <si>
    <t>Alabama, Anniston AP</t>
  </si>
  <si>
    <t>California</t>
  </si>
  <si>
    <t>Birmingham AP</t>
  </si>
  <si>
    <t>Anchorage, Fort Richardson</t>
  </si>
  <si>
    <t>Kingman AP</t>
  </si>
  <si>
    <t>Fayetteville AP</t>
  </si>
  <si>
    <t>Blue Canyon</t>
  </si>
  <si>
    <t xml:space="preserve">Craig </t>
  </si>
  <si>
    <t>New London</t>
  </si>
  <si>
    <t>Daytona Beach AP</t>
  </si>
  <si>
    <t>Atlanta AP</t>
  </si>
  <si>
    <t xml:space="preserve">Kahului </t>
  </si>
  <si>
    <t>Idaho Falls AP</t>
  </si>
  <si>
    <t xml:space="preserve">Carbondale </t>
  </si>
  <si>
    <t>Columbus, Bakalar AFB</t>
  </si>
  <si>
    <t>Dodge City AP</t>
  </si>
  <si>
    <t>Covington AP</t>
  </si>
  <si>
    <t>Bossier City, Barksdale AFB</t>
  </si>
  <si>
    <t>Caribou AP</t>
  </si>
  <si>
    <t>Fredrick AP</t>
  </si>
  <si>
    <t>Fall River</t>
  </si>
  <si>
    <t>Benton Harbor AP</t>
  </si>
  <si>
    <t xml:space="preserve">Brainerd </t>
  </si>
  <si>
    <t>Greenville AFB</t>
  </si>
  <si>
    <t xml:space="preserve">Hannibal </t>
  </si>
  <si>
    <t>Cut Bank AP</t>
  </si>
  <si>
    <t xml:space="preserve">Columbus </t>
  </si>
  <si>
    <t>Las Vegas AP</t>
  </si>
  <si>
    <t xml:space="preserve">Keene </t>
  </si>
  <si>
    <t>Newark AP</t>
  </si>
  <si>
    <t>Carlsbad AP</t>
  </si>
  <si>
    <t xml:space="preserve">Bafavia </t>
  </si>
  <si>
    <t>Cherry Point MCAS</t>
  </si>
  <si>
    <t>Fargo AP</t>
  </si>
  <si>
    <t>Bowling Green</t>
  </si>
  <si>
    <t xml:space="preserve">Bartlesville </t>
  </si>
  <si>
    <t xml:space="preserve">Bend </t>
  </si>
  <si>
    <t xml:space="preserve">Butler </t>
  </si>
  <si>
    <t>Charleston CO</t>
  </si>
  <si>
    <t>Huron AP</t>
  </si>
  <si>
    <t xml:space="preserve">Clarksville </t>
  </si>
  <si>
    <t>Austin AP</t>
  </si>
  <si>
    <t>Ogden, Hill AFB</t>
  </si>
  <si>
    <t xml:space="preserve">Rutland </t>
  </si>
  <si>
    <t xml:space="preserve">Fredricksburg </t>
  </si>
  <si>
    <t>Ellensburg AP</t>
  </si>
  <si>
    <t xml:space="preserve">Clarksburg </t>
  </si>
  <si>
    <t>Eau Claire AP</t>
  </si>
  <si>
    <t>Cody AP</t>
  </si>
  <si>
    <t xml:space="preserve">Alabama, Auburn </t>
  </si>
  <si>
    <t>Colorado</t>
  </si>
  <si>
    <t xml:space="preserve">Decatur </t>
  </si>
  <si>
    <t xml:space="preserve">Annette </t>
  </si>
  <si>
    <t xml:space="preserve">Nogalas </t>
  </si>
  <si>
    <t>Fort Smith AP</t>
  </si>
  <si>
    <t>Blythe AP</t>
  </si>
  <si>
    <t>Denver AP</t>
  </si>
  <si>
    <t xml:space="preserve">Norwalk </t>
  </si>
  <si>
    <t>Fort Lauderdale</t>
  </si>
  <si>
    <t>Kaneohe Bay MCAS</t>
  </si>
  <si>
    <t xml:space="preserve">Kamiah </t>
  </si>
  <si>
    <t xml:space="preserve">Champaign/Urbana </t>
  </si>
  <si>
    <t xml:space="preserve">Crawfordsville </t>
  </si>
  <si>
    <t>Council Bluffs</t>
  </si>
  <si>
    <t>El Dorado</t>
  </si>
  <si>
    <t>Fort Knox, Godman AAF</t>
  </si>
  <si>
    <t xml:space="preserve">Houma </t>
  </si>
  <si>
    <t xml:space="preserve">Lewiston </t>
  </si>
  <si>
    <t xml:space="preserve">Hagerstown </t>
  </si>
  <si>
    <t xml:space="preserve">Framingham </t>
  </si>
  <si>
    <t xml:space="preserve">Detroit </t>
  </si>
  <si>
    <t>Duluth AP</t>
  </si>
  <si>
    <t xml:space="preserve">Greenwood </t>
  </si>
  <si>
    <t>Jefferson City</t>
  </si>
  <si>
    <t>Glasgow AP</t>
  </si>
  <si>
    <t xml:space="preserve">Fremont </t>
  </si>
  <si>
    <t>Lovelock AP</t>
  </si>
  <si>
    <t xml:space="preserve">Laconia </t>
  </si>
  <si>
    <t>New Brunswick</t>
  </si>
  <si>
    <t xml:space="preserve">Clayton </t>
  </si>
  <si>
    <t>Binghampton AP</t>
  </si>
  <si>
    <t xml:space="preserve">Durham </t>
  </si>
  <si>
    <t>Grands Forks AP</t>
  </si>
  <si>
    <t xml:space="preserve">Cambridge </t>
  </si>
  <si>
    <t xml:space="preserve">Chickasha </t>
  </si>
  <si>
    <t xml:space="preserve">Corvallis </t>
  </si>
  <si>
    <t xml:space="preserve">Chambersburg </t>
  </si>
  <si>
    <t xml:space="preserve">Mitchell </t>
  </si>
  <si>
    <t xml:space="preserve">Columbia </t>
  </si>
  <si>
    <t>Bay City</t>
  </si>
  <si>
    <t xml:space="preserve">Price </t>
  </si>
  <si>
    <t>Hampton, Langley AFB</t>
  </si>
  <si>
    <t>Everett-Paine AFB</t>
  </si>
  <si>
    <t>Elkins AP</t>
  </si>
  <si>
    <t>Fond du Lac</t>
  </si>
  <si>
    <t xml:space="preserve">Evanston </t>
  </si>
  <si>
    <t>Alabama, Birmingham AP</t>
  </si>
  <si>
    <t>Connecticut</t>
  </si>
  <si>
    <t>Dothan AP</t>
  </si>
  <si>
    <t xml:space="preserve">Barrow </t>
  </si>
  <si>
    <t xml:space="preserve">Page </t>
  </si>
  <si>
    <t>Hot Springs</t>
  </si>
  <si>
    <t>Burbank AP</t>
  </si>
  <si>
    <t xml:space="preserve">Durango </t>
  </si>
  <si>
    <t xml:space="preserve">Norwich </t>
  </si>
  <si>
    <t>Fort Myers AP</t>
  </si>
  <si>
    <t xml:space="preserve">Brunswick </t>
  </si>
  <si>
    <t xml:space="preserve">Lihue </t>
  </si>
  <si>
    <t>Lewiston AP</t>
  </si>
  <si>
    <t>Chicago, Meigs Field</t>
  </si>
  <si>
    <t>Evansville AP</t>
  </si>
  <si>
    <t>Des Moines AP</t>
  </si>
  <si>
    <t xml:space="preserve">Emporia </t>
  </si>
  <si>
    <t>Hopkinsville, Campbell AFB</t>
  </si>
  <si>
    <t>Lafayette AP</t>
  </si>
  <si>
    <t>Limestone, Loring AFB</t>
  </si>
  <si>
    <t>Lex Park, Patuxent River NAS</t>
  </si>
  <si>
    <t xml:space="preserve">Gloucester </t>
  </si>
  <si>
    <t xml:space="preserve">Escanaba </t>
  </si>
  <si>
    <t xml:space="preserve">Fairbault </t>
  </si>
  <si>
    <t xml:space="preserve">Hattiesburg </t>
  </si>
  <si>
    <t>Joplin AP</t>
  </si>
  <si>
    <t xml:space="preserve">Glendive </t>
  </si>
  <si>
    <t>Grand Island AP</t>
  </si>
  <si>
    <t xml:space="preserve">Mercury </t>
  </si>
  <si>
    <t xml:space="preserve">Lebanon </t>
  </si>
  <si>
    <t xml:space="preserve">Patterson </t>
  </si>
  <si>
    <t>Clovis, Cannon AFB</t>
  </si>
  <si>
    <t>Buffalo AP</t>
  </si>
  <si>
    <t>Elizabeth City AP</t>
  </si>
  <si>
    <t>Jamestown AP</t>
  </si>
  <si>
    <t xml:space="preserve">Chilicothe </t>
  </si>
  <si>
    <t>Enid-Vance AFB</t>
  </si>
  <si>
    <t>Eugene AP</t>
  </si>
  <si>
    <t xml:space="preserve">DuBois </t>
  </si>
  <si>
    <t>Florence AP</t>
  </si>
  <si>
    <t>Pierre AP</t>
  </si>
  <si>
    <t xml:space="preserve">Crossville </t>
  </si>
  <si>
    <t xml:space="preserve">Beaumont </t>
  </si>
  <si>
    <t xml:space="preserve">Provo </t>
  </si>
  <si>
    <t xml:space="preserve">Harrisonburg </t>
  </si>
  <si>
    <t xml:space="preserve">Hanford </t>
  </si>
  <si>
    <t>Huntington CO</t>
  </si>
  <si>
    <t>Green Bay AP</t>
  </si>
  <si>
    <t xml:space="preserve">Gillette </t>
  </si>
  <si>
    <t xml:space="preserve">Alabama, Decatur </t>
  </si>
  <si>
    <t>Delaware</t>
  </si>
  <si>
    <t xml:space="preserve">Bethel </t>
  </si>
  <si>
    <t>Phoenix AP</t>
  </si>
  <si>
    <t>Jonesboro 262</t>
  </si>
  <si>
    <t xml:space="preserve">Chico </t>
  </si>
  <si>
    <t xml:space="preserve">Eagle </t>
  </si>
  <si>
    <t xml:space="preserve">Waterbury </t>
  </si>
  <si>
    <t>Fort Pierce</t>
  </si>
  <si>
    <t>Columbus, Fort Benning</t>
  </si>
  <si>
    <t xml:space="preserve">Molokai </t>
  </si>
  <si>
    <t xml:space="preserve">Moscow </t>
  </si>
  <si>
    <t>Chicago, Midway AP</t>
  </si>
  <si>
    <t>Fort Wayne AP</t>
  </si>
  <si>
    <t xml:space="preserve">Debuque </t>
  </si>
  <si>
    <t>Garden City AP</t>
  </si>
  <si>
    <t xml:space="preserve">Jackson </t>
  </si>
  <si>
    <t>Lake Charles AP</t>
  </si>
  <si>
    <t>Millinocket AP</t>
  </si>
  <si>
    <t xml:space="preserve">Salisbury </t>
  </si>
  <si>
    <t xml:space="preserve">Greenfield </t>
  </si>
  <si>
    <t>Flint AP</t>
  </si>
  <si>
    <t>Fergus Falls</t>
  </si>
  <si>
    <t>Jackson AP</t>
  </si>
  <si>
    <t>Kansas City AP</t>
  </si>
  <si>
    <t>Great Falls AP</t>
  </si>
  <si>
    <t xml:space="preserve">Hastings </t>
  </si>
  <si>
    <t>North Las Vega , Nellis AFB</t>
  </si>
  <si>
    <t>Manchester, Grenier AFB</t>
  </si>
  <si>
    <t xml:space="preserve">Phillipsburg </t>
  </si>
  <si>
    <t>Central Islip</t>
  </si>
  <si>
    <t>Fayetteville, Pope AFB</t>
  </si>
  <si>
    <t>Minot AP</t>
  </si>
  <si>
    <t>Cincinnati, Lunken Field</t>
  </si>
  <si>
    <t>Lawton AP</t>
  </si>
  <si>
    <t>Grants Pass</t>
  </si>
  <si>
    <t>Erie AP</t>
  </si>
  <si>
    <t xml:space="preserve">Georgetown </t>
  </si>
  <si>
    <t>Rapid City AP</t>
  </si>
  <si>
    <t xml:space="preserve">Dyersburg </t>
  </si>
  <si>
    <t xml:space="preserve">Beeville </t>
  </si>
  <si>
    <t xml:space="preserve">Richfield </t>
  </si>
  <si>
    <t>Lynchburg AP</t>
  </si>
  <si>
    <t xml:space="preserve">Kennewick </t>
  </si>
  <si>
    <t>Martinsburg AP</t>
  </si>
  <si>
    <t>LaCrosse AP</t>
  </si>
  <si>
    <t>Lander AP</t>
  </si>
  <si>
    <t>Alabama, Dothan AP</t>
  </si>
  <si>
    <t xml:space="preserve">Gadsden </t>
  </si>
  <si>
    <t xml:space="preserve">Bettles </t>
  </si>
  <si>
    <t>Phoenix, Luke AFB</t>
  </si>
  <si>
    <t>Little Rock AP</t>
  </si>
  <si>
    <t xml:space="preserve">Concord </t>
  </si>
  <si>
    <t>Fort Collins</t>
  </si>
  <si>
    <t>Windsor Locks, Bradlet Field</t>
  </si>
  <si>
    <t>Gainsville AP</t>
  </si>
  <si>
    <t>Columbus, Lawson AFB</t>
  </si>
  <si>
    <t xml:space="preserve">Wahaiwa </t>
  </si>
  <si>
    <t>Mountain Home AFB</t>
  </si>
  <si>
    <t>Chicago, O’Hare AP</t>
  </si>
  <si>
    <t>Goshen AP</t>
  </si>
  <si>
    <t>Fort Dodge</t>
  </si>
  <si>
    <t>Goodland AP</t>
  </si>
  <si>
    <t>Lexington AP</t>
  </si>
  <si>
    <t>Leesville, Fort Polk</t>
  </si>
  <si>
    <t xml:space="preserve">Portland </t>
  </si>
  <si>
    <t xml:space="preserve">Lawrence </t>
  </si>
  <si>
    <t>Grand Rapids AP</t>
  </si>
  <si>
    <t xml:space="preserve">Hibbing </t>
  </si>
  <si>
    <t xml:space="preserve">Laurel </t>
  </si>
  <si>
    <t>Kirksville AP</t>
  </si>
  <si>
    <t>Great Falls, Malmstrom AFB</t>
  </si>
  <si>
    <t xml:space="preserve">Kearney </t>
  </si>
  <si>
    <t>Reno AP</t>
  </si>
  <si>
    <t>Mount Washington</t>
  </si>
  <si>
    <t xml:space="preserve">Teterboro </t>
  </si>
  <si>
    <t xml:space="preserve">Gallup </t>
  </si>
  <si>
    <t xml:space="preserve">Cortland </t>
  </si>
  <si>
    <t>Goldsboro, Seymour</t>
  </si>
  <si>
    <t>Minot, AFB</t>
  </si>
  <si>
    <t>Cleveland AP</t>
  </si>
  <si>
    <t xml:space="preserve">McAlester </t>
  </si>
  <si>
    <t xml:space="preserve">Hillsboro </t>
  </si>
  <si>
    <t>Harrisburg AP</t>
  </si>
  <si>
    <t>Greenville AP/Greer</t>
  </si>
  <si>
    <t>Sioux Falls AP</t>
  </si>
  <si>
    <t xml:space="preserve">Greenville </t>
  </si>
  <si>
    <t>Big Springs AP</t>
  </si>
  <si>
    <t>Newport News</t>
  </si>
  <si>
    <t xml:space="preserve">Longview </t>
  </si>
  <si>
    <t>Morgantown AP</t>
  </si>
  <si>
    <t>Madison AP</t>
  </si>
  <si>
    <t>Laramie AP</t>
  </si>
  <si>
    <t>Alabama, Florence AP</t>
  </si>
  <si>
    <t>Florida</t>
  </si>
  <si>
    <t>Huntsville AP</t>
  </si>
  <si>
    <t>Big Delta, Ft. Greely</t>
  </si>
  <si>
    <t>Prescott AP</t>
  </si>
  <si>
    <t>Pine Bluff AP</t>
  </si>
  <si>
    <t xml:space="preserve">Covina </t>
  </si>
  <si>
    <t>Grand Junction AP</t>
  </si>
  <si>
    <t>Homestead, AFB</t>
  </si>
  <si>
    <t>Columbus, Metro AP</t>
  </si>
  <si>
    <t xml:space="preserve">Mullan </t>
  </si>
  <si>
    <t>Chicago CO</t>
  </si>
  <si>
    <t xml:space="preserve">Hobart </t>
  </si>
  <si>
    <t>Iowa City</t>
  </si>
  <si>
    <t>Great Bend</t>
  </si>
  <si>
    <t>Louisville AP</t>
  </si>
  <si>
    <t xml:space="preserve">Minden </t>
  </si>
  <si>
    <t xml:space="preserve">Waterville </t>
  </si>
  <si>
    <t xml:space="preserve">Lowell </t>
  </si>
  <si>
    <t xml:space="preserve">Hancock </t>
  </si>
  <si>
    <t>International Falls AP</t>
  </si>
  <si>
    <t>McComb AP</t>
  </si>
  <si>
    <t xml:space="preserve">Mexico </t>
  </si>
  <si>
    <t xml:space="preserve">Havre </t>
  </si>
  <si>
    <t>Lincoln CO</t>
  </si>
  <si>
    <t>Reno CO</t>
  </si>
  <si>
    <t>Portsmouth, Pease AFB</t>
  </si>
  <si>
    <t>Trenton, McQuire AFB</t>
  </si>
  <si>
    <t xml:space="preserve">Grants </t>
  </si>
  <si>
    <t xml:space="preserve">Dunkirk </t>
  </si>
  <si>
    <t>Goldsboro, Johnson AFB</t>
  </si>
  <si>
    <t xml:space="preserve">Williston </t>
  </si>
  <si>
    <t>Columbus AP</t>
  </si>
  <si>
    <t>Muskogee AP</t>
  </si>
  <si>
    <t>Klamath Falls AP</t>
  </si>
  <si>
    <t xml:space="preserve">Johnstown </t>
  </si>
  <si>
    <t>Watertown AP</t>
  </si>
  <si>
    <t>Brownsville AP</t>
  </si>
  <si>
    <t>Salt Lake City AP</t>
  </si>
  <si>
    <t>Norfolk AP</t>
  </si>
  <si>
    <t>Moses Lake, Larson AFB</t>
  </si>
  <si>
    <t>Parkersburg CO</t>
  </si>
  <si>
    <t xml:space="preserve">Manitowoc </t>
  </si>
  <si>
    <t xml:space="preserve">Newcastle </t>
  </si>
  <si>
    <t xml:space="preserve">Alabama, Gadsden </t>
  </si>
  <si>
    <t>Georgia</t>
  </si>
  <si>
    <t>Mobile AP</t>
  </si>
  <si>
    <t>Cold Bay</t>
  </si>
  <si>
    <t>Safford, Agri. Center</t>
  </si>
  <si>
    <t>Texarkana AP</t>
  </si>
  <si>
    <t>Crescent City AP</t>
  </si>
  <si>
    <t xml:space="preserve">Greeley </t>
  </si>
  <si>
    <t>Jacksonville AP</t>
  </si>
  <si>
    <t xml:space="preserve">Dalton </t>
  </si>
  <si>
    <t>Pocatello AP</t>
  </si>
  <si>
    <t xml:space="preserve">Danville </t>
  </si>
  <si>
    <t xml:space="preserve">Huntington </t>
  </si>
  <si>
    <t xml:space="preserve">Keokuk </t>
  </si>
  <si>
    <t>Hutchinson AP</t>
  </si>
  <si>
    <t xml:space="preserve">Madisonville </t>
  </si>
  <si>
    <t>Monroe AP</t>
  </si>
  <si>
    <t>New Bedford</t>
  </si>
  <si>
    <t>Harbour Beach</t>
  </si>
  <si>
    <t>Mankato 1020</t>
  </si>
  <si>
    <t>Meridian AP</t>
  </si>
  <si>
    <t xml:space="preserve">Moberly </t>
  </si>
  <si>
    <t>Helena AP</t>
  </si>
  <si>
    <t xml:space="preserve">McCook </t>
  </si>
  <si>
    <t>Tonapah AP</t>
  </si>
  <si>
    <t xml:space="preserve">Vineland </t>
  </si>
  <si>
    <t>Hobbs AP</t>
  </si>
  <si>
    <t>Elmira AP</t>
  </si>
  <si>
    <t>Greensboro AP</t>
  </si>
  <si>
    <t>Columbus, Rickenbckr AFB</t>
  </si>
  <si>
    <t>Norman 1181</t>
  </si>
  <si>
    <t xml:space="preserve">Meacham </t>
  </si>
  <si>
    <t xml:space="preserve">Lancaster </t>
  </si>
  <si>
    <t>Myrtle Beach, AFB</t>
  </si>
  <si>
    <t xml:space="preserve">Yankton </t>
  </si>
  <si>
    <t>Knoxville AP</t>
  </si>
  <si>
    <t xml:space="preserve">Brownwood </t>
  </si>
  <si>
    <t>Vernal AP</t>
  </si>
  <si>
    <t>Oceana, NAS</t>
  </si>
  <si>
    <t>Olympia AP</t>
  </si>
  <si>
    <t xml:space="preserve">Wheeling </t>
  </si>
  <si>
    <t xml:space="preserve">Marinette </t>
  </si>
  <si>
    <t xml:space="preserve">Rawlins </t>
  </si>
  <si>
    <t>Alabama, Huntsville AP</t>
  </si>
  <si>
    <t>Hawaii</t>
  </si>
  <si>
    <t>Mobile CO</t>
  </si>
  <si>
    <t xml:space="preserve">Cordova </t>
  </si>
  <si>
    <t>Tuscon Ap</t>
  </si>
  <si>
    <t xml:space="preserve">Downey </t>
  </si>
  <si>
    <t>LaJunta AP</t>
  </si>
  <si>
    <t>Jacksonville/Cecil Field NAS</t>
  </si>
  <si>
    <t xml:space="preserve">Dublin </t>
  </si>
  <si>
    <t>Twin Falls AP</t>
  </si>
  <si>
    <t>Indianapolis AP (S)</t>
  </si>
  <si>
    <t xml:space="preserve">Lamoni </t>
  </si>
  <si>
    <t xml:space="preserve">Liberal </t>
  </si>
  <si>
    <t xml:space="preserve">Owensboro </t>
  </si>
  <si>
    <t xml:space="preserve">Natchitoches </t>
  </si>
  <si>
    <t>Pittsfield AP</t>
  </si>
  <si>
    <t xml:space="preserve">Holland </t>
  </si>
  <si>
    <t>Minneapolis/St. Paul AP</t>
  </si>
  <si>
    <t xml:space="preserve">Natchez </t>
  </si>
  <si>
    <t>Poplar Bluff</t>
  </si>
  <si>
    <t>Kalispell AP</t>
  </si>
  <si>
    <t xml:space="preserve">Norfolk </t>
  </si>
  <si>
    <t>Winnemucca AP</t>
  </si>
  <si>
    <t>Las Cruces</t>
  </si>
  <si>
    <t xml:space="preserve">Geneva </t>
  </si>
  <si>
    <t>Dayton AP</t>
  </si>
  <si>
    <t>Oklahoma City AP</t>
  </si>
  <si>
    <t>Medford AP</t>
  </si>
  <si>
    <t xml:space="preserve">Meadville </t>
  </si>
  <si>
    <t xml:space="preserve">Orangeburg </t>
  </si>
  <si>
    <t>Memphis AP</t>
  </si>
  <si>
    <t>Bryan AP</t>
  </si>
  <si>
    <t xml:space="preserve">Petersburg </t>
  </si>
  <si>
    <t>Port Angeles</t>
  </si>
  <si>
    <t>Milwaukee AP</t>
  </si>
  <si>
    <t>Rock Springs AP</t>
  </si>
  <si>
    <t>Alabama, Mobile AP</t>
  </si>
  <si>
    <t>Idaho</t>
  </si>
  <si>
    <t>Montgomery AP</t>
  </si>
  <si>
    <t xml:space="preserve">Deadhorse </t>
  </si>
  <si>
    <t>Winslow AP</t>
  </si>
  <si>
    <t>El Cajon</t>
  </si>
  <si>
    <t xml:space="preserve">Leadville </t>
  </si>
  <si>
    <t>Jacksonville, Mayport Naval</t>
  </si>
  <si>
    <t xml:space="preserve">Gainesville </t>
  </si>
  <si>
    <t xml:space="preserve">Dixon </t>
  </si>
  <si>
    <t xml:space="preserve">Jeffersonville </t>
  </si>
  <si>
    <t xml:space="preserve">Marshalltown </t>
  </si>
  <si>
    <t>Manhattan, Fort Riley</t>
  </si>
  <si>
    <t>Paducah AP</t>
  </si>
  <si>
    <t>New Orleans AP</t>
  </si>
  <si>
    <t>Springfield, Westover AFB</t>
  </si>
  <si>
    <t>Redwood Falls</t>
  </si>
  <si>
    <t xml:space="preserve">Tupelo </t>
  </si>
  <si>
    <t xml:space="preserve">Rolla </t>
  </si>
  <si>
    <t>North Platte AP</t>
  </si>
  <si>
    <t>Los Alamos</t>
  </si>
  <si>
    <t>Glens Falls</t>
  </si>
  <si>
    <t xml:space="preserve">Henderson </t>
  </si>
  <si>
    <t>Dayton, Wright/Paterson AFB</t>
  </si>
  <si>
    <t>Oklahoma City, W.Rogers AP</t>
  </si>
  <si>
    <t>North Bend</t>
  </si>
  <si>
    <t>New Castle</t>
  </si>
  <si>
    <t>Rock Hill</t>
  </si>
  <si>
    <t xml:space="preserve">Murfreesboro </t>
  </si>
  <si>
    <t>Corpus Christi AP</t>
  </si>
  <si>
    <t>Quantico MCAS</t>
  </si>
  <si>
    <t xml:space="preserve">Quillayute </t>
  </si>
  <si>
    <t xml:space="preserve">Racine </t>
  </si>
  <si>
    <t>Sheridan AP</t>
  </si>
  <si>
    <t>Alabama, Mobile CO</t>
  </si>
  <si>
    <t>Illinois</t>
  </si>
  <si>
    <t>Ozark, Fort Rucker</t>
  </si>
  <si>
    <t xml:space="preserve">Dillingham </t>
  </si>
  <si>
    <t>Yuma AP</t>
  </si>
  <si>
    <t>El Centro AP</t>
  </si>
  <si>
    <t xml:space="preserve">Limon </t>
  </si>
  <si>
    <t>Key West AP</t>
  </si>
  <si>
    <t xml:space="preserve">Griffin </t>
  </si>
  <si>
    <t xml:space="preserve">Elgin </t>
  </si>
  <si>
    <t xml:space="preserve">Kokoma </t>
  </si>
  <si>
    <t>Mason City AP</t>
  </si>
  <si>
    <t xml:space="preserve">Parsons </t>
  </si>
  <si>
    <t>New Orleans, Lakefront AP</t>
  </si>
  <si>
    <t xml:space="preserve">Tauton </t>
  </si>
  <si>
    <t xml:space="preserve">Kalamazoo </t>
  </si>
  <si>
    <t>Rochester AP</t>
  </si>
  <si>
    <t>Vicksburg CO</t>
  </si>
  <si>
    <t>Livingston AP</t>
  </si>
  <si>
    <t>Omaha AP</t>
  </si>
  <si>
    <t>Raton AP</t>
  </si>
  <si>
    <t xml:space="preserve">Gloversville </t>
  </si>
  <si>
    <t xml:space="preserve">Hickory </t>
  </si>
  <si>
    <t xml:space="preserve">Defiance </t>
  </si>
  <si>
    <t>Ponca City</t>
  </si>
  <si>
    <t>Pendleton AP</t>
  </si>
  <si>
    <t>Philadelphia AP</t>
  </si>
  <si>
    <t>Spartanburg AP</t>
  </si>
  <si>
    <t>Nashville AP</t>
  </si>
  <si>
    <t xml:space="preserve">Corsicana </t>
  </si>
  <si>
    <t>Richmond AP</t>
  </si>
  <si>
    <t>Seattle-Boeing Fld</t>
  </si>
  <si>
    <t xml:space="preserve">Sheboygan </t>
  </si>
  <si>
    <t xml:space="preserve">Torrington </t>
  </si>
  <si>
    <t>Alabama, Montgomery AP</t>
  </si>
  <si>
    <t>Indiana</t>
  </si>
  <si>
    <t>Selma-Craig AFB</t>
  </si>
  <si>
    <t>Fairbanks IAP</t>
  </si>
  <si>
    <t xml:space="preserve">Escondido </t>
  </si>
  <si>
    <t>Pueblo AP</t>
  </si>
  <si>
    <t>Lakeland CO</t>
  </si>
  <si>
    <t>La Grange</t>
  </si>
  <si>
    <t xml:space="preserve">Freeport </t>
  </si>
  <si>
    <t xml:space="preserve">Layfayette </t>
  </si>
  <si>
    <t xml:space="preserve">Newton </t>
  </si>
  <si>
    <t>Russel AP</t>
  </si>
  <si>
    <t>Shreveport AP</t>
  </si>
  <si>
    <t>Weymouth, S. Weymouth Nas</t>
  </si>
  <si>
    <t>Lansing AP</t>
  </si>
  <si>
    <t>St. Cloud AP</t>
  </si>
  <si>
    <t>Miles City AP</t>
  </si>
  <si>
    <t>Omaha WSO</t>
  </si>
  <si>
    <t>Roswell, Walker AFB</t>
  </si>
  <si>
    <t xml:space="preserve">Hornell </t>
  </si>
  <si>
    <t xml:space="preserve">Jacksonville </t>
  </si>
  <si>
    <t>Finlay AP</t>
  </si>
  <si>
    <t xml:space="preserve">Seminole </t>
  </si>
  <si>
    <t>Portland AP</t>
  </si>
  <si>
    <t>Philadelphia, Northeast AP</t>
  </si>
  <si>
    <t>Sumter-Shaw AFB</t>
  </si>
  <si>
    <t xml:space="preserve">Tullahoma </t>
  </si>
  <si>
    <t>Dallas, Fort Worth AP</t>
  </si>
  <si>
    <t>Roanoke AP</t>
  </si>
  <si>
    <t>Seattle CO</t>
  </si>
  <si>
    <t>Stevens Point</t>
  </si>
  <si>
    <t xml:space="preserve">Worland </t>
  </si>
  <si>
    <t>Alabama, Ozark, Fort Rucker</t>
  </si>
  <si>
    <t>Iowa</t>
  </si>
  <si>
    <t xml:space="preserve">Talladega </t>
  </si>
  <si>
    <t>Fairbanks, Eielson AFB</t>
  </si>
  <si>
    <t>Eureaka/Arcata AP</t>
  </si>
  <si>
    <t xml:space="preserve">Sterling </t>
  </si>
  <si>
    <t xml:space="preserve">Melbourne </t>
  </si>
  <si>
    <t>Macon AP</t>
  </si>
  <si>
    <t xml:space="preserve">Galesburg </t>
  </si>
  <si>
    <t xml:space="preserve">LaPorte </t>
  </si>
  <si>
    <t>Ottumwa AP</t>
  </si>
  <si>
    <t xml:space="preserve">Salina </t>
  </si>
  <si>
    <t>Worcester AP</t>
  </si>
  <si>
    <t>Marquette CO</t>
  </si>
  <si>
    <t xml:space="preserve">Tofte </t>
  </si>
  <si>
    <t>Missoula AP</t>
  </si>
  <si>
    <t>Scottsbluff AP</t>
  </si>
  <si>
    <t>Santa Fe CO</t>
  </si>
  <si>
    <t xml:space="preserve">Ithaca </t>
  </si>
  <si>
    <t xml:space="preserve">Lumberton </t>
  </si>
  <si>
    <t xml:space="preserve">Stillwater </t>
  </si>
  <si>
    <t>Portland CO</t>
  </si>
  <si>
    <t>Philadelphia, Willow Gr NAS</t>
  </si>
  <si>
    <t>Del Rio, Laughlin AFB</t>
  </si>
  <si>
    <t xml:space="preserve">Staunton </t>
  </si>
  <si>
    <t>Seattle-Tacoma AP</t>
  </si>
  <si>
    <t xml:space="preserve">Waukesha </t>
  </si>
  <si>
    <t>Alabama, Selma-Craig AFB</t>
  </si>
  <si>
    <t>Kansas</t>
  </si>
  <si>
    <t>Tuscaloosa AP</t>
  </si>
  <si>
    <t xml:space="preserve">Galena </t>
  </si>
  <si>
    <t>Fairfield-Travis AFB</t>
  </si>
  <si>
    <t>Trinidad AP</t>
  </si>
  <si>
    <t>Miami AP</t>
  </si>
  <si>
    <t>Marietta, Dobbins AFB</t>
  </si>
  <si>
    <t>Glenview, NAS</t>
  </si>
  <si>
    <t xml:space="preserve">Marion </t>
  </si>
  <si>
    <t>Sioux City AP</t>
  </si>
  <si>
    <t>Topeka AP</t>
  </si>
  <si>
    <t>Marquette, Sawyer AFB</t>
  </si>
  <si>
    <t xml:space="preserve">Virginia </t>
  </si>
  <si>
    <t>Sedalia, Whiteman AFB</t>
  </si>
  <si>
    <t>Sidney AP</t>
  </si>
  <si>
    <t>Silver City AP</t>
  </si>
  <si>
    <t xml:space="preserve">Jamestown </t>
  </si>
  <si>
    <t>New Bern AP</t>
  </si>
  <si>
    <t xml:space="preserve">Hamilton </t>
  </si>
  <si>
    <t>Tulsa AP</t>
  </si>
  <si>
    <t xml:space="preserve">Redmond </t>
  </si>
  <si>
    <t>Pittsburgh AP</t>
  </si>
  <si>
    <t xml:space="preserve">Denton </t>
  </si>
  <si>
    <t>Spokane AP</t>
  </si>
  <si>
    <t>Wausau AP</t>
  </si>
  <si>
    <t xml:space="preserve">Alabama, Talladega </t>
  </si>
  <si>
    <t>Kentucky</t>
  </si>
  <si>
    <t xml:space="preserve">Gulkana </t>
  </si>
  <si>
    <t>Fresno AP</t>
  </si>
  <si>
    <t>Miami  CO</t>
  </si>
  <si>
    <t xml:space="preserve">Moultrie </t>
  </si>
  <si>
    <t xml:space="preserve">Muncie </t>
  </si>
  <si>
    <t xml:space="preserve">Spencer </t>
  </si>
  <si>
    <t>Wichita AP</t>
  </si>
  <si>
    <t>Mount Clemens ANGB</t>
  </si>
  <si>
    <t xml:space="preserve">Willmar </t>
  </si>
  <si>
    <t xml:space="preserve">Sikeston </t>
  </si>
  <si>
    <t xml:space="preserve">Valentine </t>
  </si>
  <si>
    <t>Socorro AP</t>
  </si>
  <si>
    <t xml:space="preserve">Kingston </t>
  </si>
  <si>
    <t>Raleigh/Durham AP</t>
  </si>
  <si>
    <t xml:space="preserve">Woodward </t>
  </si>
  <si>
    <t>Roseburg AP</t>
  </si>
  <si>
    <t>Pittsburgh, Allegheny AP</t>
  </si>
  <si>
    <t>Eagle Pass</t>
  </si>
  <si>
    <t>Reagan, National AP</t>
  </si>
  <si>
    <t>Stampede Pass</t>
  </si>
  <si>
    <t>Alabama, Tuscaloosa AP</t>
  </si>
  <si>
    <t>Louisiana</t>
  </si>
  <si>
    <t xml:space="preserve">Homer </t>
  </si>
  <si>
    <t>Hamiltion AFB</t>
  </si>
  <si>
    <t>Miami, New Tamiami AP</t>
  </si>
  <si>
    <t>Rome AP</t>
  </si>
  <si>
    <t xml:space="preserve">Joliet </t>
  </si>
  <si>
    <t>Peru, Bunker Hill AFB</t>
  </si>
  <si>
    <t xml:space="preserve">Waterloo </t>
  </si>
  <si>
    <t>Wichita, McConnell AFB</t>
  </si>
  <si>
    <t>Mt. Pleasant</t>
  </si>
  <si>
    <t xml:space="preserve">Winona </t>
  </si>
  <si>
    <t xml:space="preserve">Spickard/Trenton </t>
  </si>
  <si>
    <t>Truth or Consequences</t>
  </si>
  <si>
    <t xml:space="preserve">Lockport </t>
  </si>
  <si>
    <t>Rocky Mount</t>
  </si>
  <si>
    <t xml:space="preserve">Lima </t>
  </si>
  <si>
    <t>Salem AP</t>
  </si>
  <si>
    <t>Reading CO</t>
  </si>
  <si>
    <t>El Paso AP</t>
  </si>
  <si>
    <t xml:space="preserve">Winchester </t>
  </si>
  <si>
    <t>Tacoma-McChord AFB</t>
  </si>
  <si>
    <t>Alaska, Adak, NAS</t>
  </si>
  <si>
    <t>L</t>
  </si>
  <si>
    <t>Maine</t>
  </si>
  <si>
    <t>Juneau IAP</t>
  </si>
  <si>
    <t>Laguna Beach</t>
  </si>
  <si>
    <t>Milton, Whiting Field NAS</t>
  </si>
  <si>
    <t>Savannah, Travis AP</t>
  </si>
  <si>
    <t xml:space="preserve">Kankakee </t>
  </si>
  <si>
    <t>Peru, Grsssom AFB</t>
  </si>
  <si>
    <t>Muskegon AP</t>
  </si>
  <si>
    <t>Springfield AP</t>
  </si>
  <si>
    <t>Tucumcari AP</t>
  </si>
  <si>
    <t>Massena AP</t>
  </si>
  <si>
    <t>Mansfield AP</t>
  </si>
  <si>
    <t>Sexton Summit</t>
  </si>
  <si>
    <t xml:space="preserve">Scranton/Wilkes-Barre </t>
  </si>
  <si>
    <t>Fort Worth, Carswell AFB</t>
  </si>
  <si>
    <t>Walla Walla AP</t>
  </si>
  <si>
    <t>Alaska, Anchorage IAP</t>
  </si>
  <si>
    <t>Maryland</t>
  </si>
  <si>
    <t xml:space="preserve">Kenai </t>
  </si>
  <si>
    <t>Lemoore, Reeves NAS</t>
  </si>
  <si>
    <t xml:space="preserve">Ocala </t>
  </si>
  <si>
    <t>Valdosta, Moody AFB</t>
  </si>
  <si>
    <t xml:space="preserve">LaSalle/Peru </t>
  </si>
  <si>
    <t>Oscoda, Wurtsmith AFB</t>
  </si>
  <si>
    <t>Warrensburg, Whiteman AFB</t>
  </si>
  <si>
    <t>Newburg-Stewart AFB</t>
  </si>
  <si>
    <t>Winston-Salem AP</t>
  </si>
  <si>
    <t>The Dalles</t>
  </si>
  <si>
    <t>State College</t>
  </si>
  <si>
    <t>Fort Worth, Meacham Field</t>
  </si>
  <si>
    <t xml:space="preserve">Wenatchee </t>
  </si>
  <si>
    <t>Alaska, Anchorage, Elemendorf AFB</t>
  </si>
  <si>
    <t>Massachusetts</t>
  </si>
  <si>
    <t>Ketchikan IAP</t>
  </si>
  <si>
    <t>Livermore 500</t>
  </si>
  <si>
    <t>Orlando AP</t>
  </si>
  <si>
    <t>Valdosta, Regional AP</t>
  </si>
  <si>
    <t xml:space="preserve">Macomb </t>
  </si>
  <si>
    <t xml:space="preserve">Shelbyville </t>
  </si>
  <si>
    <t xml:space="preserve">Pellston </t>
  </si>
  <si>
    <t>NYC-Central Park</t>
  </si>
  <si>
    <t xml:space="preserve">Middletown </t>
  </si>
  <si>
    <t xml:space="preserve">Sunbury </t>
  </si>
  <si>
    <t>Galveston AP</t>
  </si>
  <si>
    <t>Yakima AP</t>
  </si>
  <si>
    <t>Alaska, Anchorage, Fort Richardson</t>
  </si>
  <si>
    <t>Michigan</t>
  </si>
  <si>
    <t>King Salmon</t>
  </si>
  <si>
    <t>Lompoc, Vandenburg AFB</t>
  </si>
  <si>
    <t>Panama City, Tyndall AFB</t>
  </si>
  <si>
    <t xml:space="preserve">Waycross </t>
  </si>
  <si>
    <t xml:space="preserve">Marseilles </t>
  </si>
  <si>
    <t>South Bend AP</t>
  </si>
  <si>
    <t xml:space="preserve">Pontiac </t>
  </si>
  <si>
    <t>NYC-Kennedy AP</t>
  </si>
  <si>
    <t xml:space="preserve">Newark </t>
  </si>
  <si>
    <t xml:space="preserve">Uniontown </t>
  </si>
  <si>
    <t xml:space="preserve">Alaska, Annette </t>
  </si>
  <si>
    <t>Minnesota</t>
  </si>
  <si>
    <t xml:space="preserve">Kodiak </t>
  </si>
  <si>
    <t>Long Beach AP</t>
  </si>
  <si>
    <t>Pensacola CO</t>
  </si>
  <si>
    <t>Moline, Davenport AP</t>
  </si>
  <si>
    <t>Terre Haute AP</t>
  </si>
  <si>
    <t>Port Huron</t>
  </si>
  <si>
    <t>NYC-La Guardia AP</t>
  </si>
  <si>
    <t xml:space="preserve">Warren </t>
  </si>
  <si>
    <t>Guadalupe Pass</t>
  </si>
  <si>
    <t xml:space="preserve">Alaska, Barrow </t>
  </si>
  <si>
    <t>Mississippi</t>
  </si>
  <si>
    <t xml:space="preserve">Kotzebue </t>
  </si>
  <si>
    <t>Los Angeles AP</t>
  </si>
  <si>
    <t>St. Augustine</t>
  </si>
  <si>
    <t>Mt. Vernon</t>
  </si>
  <si>
    <t xml:space="preserve">Valparaiso </t>
  </si>
  <si>
    <t>Saginaw AP</t>
  </si>
  <si>
    <t>Niagra Falls AP</t>
  </si>
  <si>
    <t xml:space="preserve">Portsmouth </t>
  </si>
  <si>
    <t>West Chester</t>
  </si>
  <si>
    <t xml:space="preserve">Harlingen </t>
  </si>
  <si>
    <t xml:space="preserve">Alaska, Bethel </t>
  </si>
  <si>
    <t>Missouri</t>
  </si>
  <si>
    <t xml:space="preserve">McGrath </t>
  </si>
  <si>
    <t>Los Angeles CO</t>
  </si>
  <si>
    <t>St. Petersburg</t>
  </si>
  <si>
    <t>Peoria AP</t>
  </si>
  <si>
    <t xml:space="preserve">Vincennes </t>
  </si>
  <si>
    <t>Use the pull down menus to select Doors ( J1 Form tab, line 7).</t>
  </si>
  <si>
    <t>Clg
HTM</t>
  </si>
  <si>
    <t>Cooling HTM</t>
  </si>
  <si>
    <t>* You can enter up to 8 different vertical glass types for heat loss</t>
  </si>
  <si>
    <t>Use the pull down menus to select Above Grade Walls and Partitions ( J1 Form tab, line 8).</t>
  </si>
  <si>
    <t>Use the pull down menus to select Below Grade Walls (J1 Form tab, line 9).</t>
  </si>
  <si>
    <t>Use the pull down menus to select Ceilings (J1 Form , line 10).</t>
  </si>
  <si>
    <t>Use the pull down menus to select Floors (J1 Form tab, line 11).</t>
  </si>
  <si>
    <t>Use the pull down menus and white cells for Infiltration (J1 Form tab, line 12).</t>
  </si>
  <si>
    <t>Use the pull down menus and white cells for Internal Gain (Form J1 tab, line 13).</t>
  </si>
  <si>
    <t>Use the pull down menus and white cells for Duct Loss and Duct Gain (J1 Form tab, line 15).</t>
  </si>
  <si>
    <t>Use the pull down menus and white cells for Ventilation (J1 Form tab, line 16).</t>
  </si>
  <si>
    <t>Use the pull down menu to toggle the Blower Heat Gain on or off (J1 Form tab, line 19).</t>
  </si>
  <si>
    <t>Use the white cells to account for the latent load produced by small, medium and large plants (J1 Form tab, line 21).</t>
  </si>
  <si>
    <t>Elect to do a room calculation (for equipment selection and duct system design) or a block calculation (for equipment selection only):</t>
  </si>
  <si>
    <r>
      <t>● Indoor design heating default is 70 degrees dry bul</t>
    </r>
    <r>
      <rPr>
        <sz val="9"/>
        <color indexed="8"/>
        <rFont val="Arial"/>
        <family val="2"/>
      </rPr>
      <t xml:space="preserve">b </t>
    </r>
    <r>
      <rPr>
        <sz val="8"/>
        <color indexed="8"/>
        <rFont val="Arial"/>
        <family val="2"/>
      </rPr>
      <t>(mandatory default, unless code specifies different value</t>
    </r>
    <r>
      <rPr>
        <sz val="8"/>
        <rFont val="Arial"/>
        <family val="2"/>
      </rPr>
      <t>)</t>
    </r>
  </si>
  <si>
    <r>
      <t>● Indoor design cooling default is 75 degrees dry bu</t>
    </r>
    <r>
      <rPr>
        <sz val="9"/>
        <color indexed="8"/>
        <rFont val="Arial"/>
        <family val="2"/>
      </rPr>
      <t xml:space="preserve">lb </t>
    </r>
    <r>
      <rPr>
        <sz val="8"/>
        <color indexed="8"/>
        <rFont val="Arial"/>
        <family val="2"/>
      </rPr>
      <t>(mandatory default, unless code specifies different value</t>
    </r>
    <r>
      <rPr>
        <sz val="8"/>
        <rFont val="Arial"/>
        <family val="2"/>
      </rPr>
      <t>)</t>
    </r>
  </si>
  <si>
    <r>
      <t xml:space="preserve">● Grains Difference </t>
    </r>
    <r>
      <rPr>
        <sz val="8"/>
        <rFont val="Arial"/>
        <family val="2"/>
      </rPr>
      <t>(for the selected indoor RH value)</t>
    </r>
  </si>
  <si>
    <t>The dwelling shall have adequate exposure diversity (see MJ8ae Appendix 3).</t>
  </si>
  <si>
    <t>Limitation</t>
  </si>
  <si>
    <t xml:space="preserve">    Enter the rough opening areas for windows, glass doors and skylights (white cells, lines 6A and 6B).</t>
  </si>
  <si>
    <t>Enter the load areas (net or gross) for surfaces (white cells, Lines 7 through 11).</t>
  </si>
  <si>
    <t>Enter internal gain (occupants &amp; appliances) values for the room or zone (white cells, line 13).</t>
  </si>
  <si>
    <t xml:space="preserve">     Note: Make sure the load area input line matches the correct construction detail line.</t>
  </si>
  <si>
    <t xml:space="preserve">      Note: Make sure the load area input line matches the correct construction detail line.</t>
  </si>
  <si>
    <t>Use the Excel save option to save your work.</t>
  </si>
  <si>
    <t>Scrutinize the Summary Report (Page 2 of J1 Form tab) and make sure that the values are reasonable and plausible.</t>
  </si>
  <si>
    <t>Itemized Instructions for Populating the Form J1 Tab</t>
  </si>
  <si>
    <t>Prepare One or More Workbook Templates for Local Use</t>
  </si>
  <si>
    <t>7E-T&amp;B SA in Attic, RA Riser in Floor to Ceiling Chase, Perimeter Supply Outlets</t>
  </si>
  <si>
    <t>7D-T&amp;B SA, RA in Closed Crawlspace or Unconditioned Basement</t>
  </si>
  <si>
    <t>7C-T&amp;B SA in Attic, RA Riser in Floor to Ceiling Chase, Center Supply outlets</t>
  </si>
  <si>
    <t>7A-Radial or Spider SA &amp; RA in Attic</t>
  </si>
  <si>
    <t>7B-Radial or Spider SA in Attic &amp; RA Thru Closet Door</t>
  </si>
  <si>
    <t>7F-Ducts in Conditioned Space</t>
  </si>
  <si>
    <t>Added New Duct Scenario Table 7E</t>
  </si>
  <si>
    <t>Version MJ8ae 1.11 17OCT06</t>
  </si>
  <si>
    <t xml:space="preserve">● Project: Leave blank for now (you are making a template for "Nashville-Replacements" work). </t>
  </si>
  <si>
    <t>Note: Create at least one template for each city in your local service area (design conditions and code requirements may differ).</t>
  </si>
  <si>
    <t>for the subject template (the "Nashville-Replacements" template, in this case).</t>
  </si>
  <si>
    <t xml:space="preserve">● Tab input for construction detail should be "typical" for the application covered by the template. </t>
  </si>
  <si>
    <t xml:space="preserve">           For example, population choices for the "Nashville-Replacements" template would be representative of older Nashville homes.</t>
  </si>
  <si>
    <t>● Create additional templates for other applications ("Nashville New Homes" or "Nashville E-Star Homes," for example).</t>
  </si>
  <si>
    <t>● A template is your personal version of the MJ8ae tables and can be edited at any time (add items, delete items or correct input errors).</t>
  </si>
  <si>
    <t>Once the template is loaded (J1 Form header and the surface tabs are complete), the load estimate is performed with the Glass Schedule and J1 Form tabs. These tabs have color-coded cells. The white and yellow cells are used for input. The other cells contain information or provide output.</t>
  </si>
  <si>
    <t xml:space="preserve">       Note: The blank version of the "Nashville-Replacement" template is preserved and ready for the next project.</t>
  </si>
  <si>
    <t>► Lookup HTM adjustment  (bay window, garden window or French door)</t>
  </si>
  <si>
    <t>SKYLIGHTS</t>
  </si>
  <si>
    <t>Latent load for plants</t>
  </si>
  <si>
    <t>All other design data cells are calculated automatically from the Design Tab</t>
  </si>
  <si>
    <t>Duct Loss &amp; Gain</t>
  </si>
  <si>
    <t>10Low</t>
  </si>
  <si>
    <t>15Low</t>
  </si>
  <si>
    <t>20Low</t>
  </si>
  <si>
    <t>10Medium</t>
  </si>
  <si>
    <t>15Medium</t>
  </si>
  <si>
    <t>20Medium</t>
  </si>
  <si>
    <t>25Medium</t>
  </si>
  <si>
    <t>15High</t>
  </si>
  <si>
    <t>20High</t>
  </si>
  <si>
    <t>25High</t>
  </si>
  <si>
    <t>30High</t>
  </si>
  <si>
    <t>35High</t>
  </si>
  <si>
    <t>Block Load</t>
  </si>
  <si>
    <t>BTUH</t>
  </si>
  <si>
    <t xml:space="preserve">Indoor Design Heating db </t>
  </si>
  <si>
    <t xml:space="preserve">Indoor Design Cooling db </t>
  </si>
  <si>
    <t xml:space="preserve">Indoor Design Cooling RH </t>
  </si>
  <si>
    <t>● Enter net square feet of exposed doors</t>
  </si>
  <si>
    <t>● Enter net square feet of exposed above grade walls</t>
  </si>
  <si>
    <t>● Enter net square feet of partition walls</t>
  </si>
  <si>
    <t>● Enter net square feet of exposed below grade walls</t>
  </si>
  <si>
    <t>● Enter net square feet of exposed ceilings</t>
  </si>
  <si>
    <t>● Enter net square feet of exposed floors</t>
  </si>
  <si>
    <t>● Enter net square feet of partition ceilings</t>
  </si>
  <si>
    <t>● Enter linear feet of exposed slab on grade</t>
  </si>
  <si>
    <t>Table 2A/3A -- Construction Numbers 1 through 7 &amp; 10 -- Vertical Glass Heat Loss</t>
  </si>
  <si>
    <t>Table 2A/3A -- Construction Numbers 8 &amp; 9 -- Skylight Heat Loss</t>
  </si>
  <si>
    <t>Enter Construction Number, Glass Type, # Panes, Sash Type, Frame Type, Shading</t>
  </si>
  <si>
    <t>Version MJ8ae 1.16 02MAY07</t>
  </si>
  <si>
    <t>Corrected Adjustment Calculation for Projected Windows and French Doors</t>
  </si>
  <si>
    <t xml:space="preserve">Eliminated Glass Width Entry for HTM Average Calculation </t>
  </si>
  <si>
    <t>Added Support for Latitude of 50 Degrees</t>
  </si>
  <si>
    <t>Cosmetic Changes</t>
  </si>
  <si>
    <t>Changed Formula to Allow Zero Bedrooms</t>
  </si>
  <si>
    <t>● Enter net square feet of partition floors</t>
  </si>
  <si>
    <t>● Enter design CFM for mechanical ventilation</t>
  </si>
  <si>
    <t>● Enter the quantity and size of plants</t>
  </si>
  <si>
    <t>► Lookup envelope leakage class</t>
  </si>
  <si>
    <t>► Lookup number of fireplaces</t>
  </si>
  <si>
    <t>► Lookup number of occupants</t>
  </si>
  <si>
    <t>► Lookup appliance class</t>
  </si>
  <si>
    <t>► Lookup type of duct system / location</t>
  </si>
  <si>
    <t>► Lookup duct insulation R-value</t>
  </si>
  <si>
    <t>► Lookup duct leakage class</t>
  </si>
  <si>
    <t>► Lookup blower heat</t>
  </si>
  <si>
    <t>Enter the net glass area for the construction type and direction</t>
  </si>
  <si>
    <t>► Lookup direction glass faces</t>
  </si>
  <si>
    <t>● Enter height of the glass opening</t>
  </si>
  <si>
    <t>● Enter width of the glass opening</t>
  </si>
  <si>
    <t>● Enter overhang distance</t>
  </si>
  <si>
    <t>● Enter distance from top of glass opening to overhang</t>
  </si>
  <si>
    <t>► Lookup cooling HTM adjustment  (bug screen)</t>
  </si>
  <si>
    <t>Construction Numbers 19 &amp; 20, Partition Floors</t>
  </si>
  <si>
    <t>HEAT LOSS</t>
  </si>
  <si>
    <t>HEAT GAIN</t>
  </si>
  <si>
    <t>Worksheet G: Duct Runs in Unconditioned Space</t>
  </si>
  <si>
    <t>T1 Grains</t>
  </si>
  <si>
    <t>Heat loss factor =</t>
  </si>
  <si>
    <t>Sensible gain factor =</t>
  </si>
  <si>
    <t>Latent gain (Btuh) =</t>
  </si>
  <si>
    <t>For heat loss =</t>
  </si>
  <si>
    <t>For sensible gain =</t>
  </si>
  <si>
    <t>Adjusted heat loss factor =</t>
  </si>
  <si>
    <t>Adjusted sensible gain factor =</t>
  </si>
  <si>
    <t>For latent gain =</t>
  </si>
  <si>
    <t>Adjusted latent gain (Btuh) =</t>
  </si>
  <si>
    <t>Installed supply area (SqFt) =</t>
  </si>
  <si>
    <t>Default supply area (SqFt) =</t>
  </si>
  <si>
    <t>Rs  = Installed area / default area =</t>
  </si>
  <si>
    <t>Installed return area (SqFt) =</t>
  </si>
  <si>
    <t>Default return area (SqFt) =</t>
  </si>
  <si>
    <t>Rr = Installed area / default area =</t>
  </si>
  <si>
    <t>Ks =</t>
  </si>
  <si>
    <t>Kr =</t>
  </si>
  <si>
    <t>To J1ae</t>
  </si>
  <si>
    <t>Net heat loss factor =</t>
  </si>
  <si>
    <t>Net sensible gain factor =</t>
  </si>
  <si>
    <t>Net latent gain (Btuh) =</t>
  </si>
  <si>
    <t>Design Values</t>
  </si>
  <si>
    <t>R-Value Correction Factor</t>
  </si>
  <si>
    <t xml:space="preserve">♦ Wood &amp; Metal Doors </t>
  </si>
  <si>
    <t>♦ Above Grade Walls</t>
  </si>
  <si>
    <t>♦ Partition Walls</t>
  </si>
  <si>
    <t>♦ Below Grade Walls</t>
  </si>
  <si>
    <t>♦ Ceilings</t>
  </si>
  <si>
    <t>♦ Partition Ceilings</t>
  </si>
  <si>
    <t>♦ Floors</t>
  </si>
  <si>
    <t>♦ Slab On Grade Floors</t>
  </si>
  <si>
    <t>♦ Partition Floors</t>
  </si>
  <si>
    <t>♦ Infiltration</t>
  </si>
  <si>
    <t>♦ Internal Gains</t>
  </si>
  <si>
    <t>♦ Duct Loss &amp; Gain</t>
  </si>
  <si>
    <t>♦ Ventilation</t>
  </si>
  <si>
    <t>♦ Blower Heat Gain</t>
  </si>
  <si>
    <t>♦ Latent Load for Plants</t>
  </si>
  <si>
    <t>Worksheet E: Infiltration</t>
  </si>
  <si>
    <t>Number</t>
  </si>
  <si>
    <t>Occupants</t>
  </si>
  <si>
    <t>Burner</t>
  </si>
  <si>
    <t>Floor area</t>
  </si>
  <si>
    <t>(# BR + 1)</t>
  </si>
  <si>
    <t>Fireplaces</t>
  </si>
  <si>
    <t>Btuh</t>
  </si>
  <si>
    <t>Conditioned above grade volume</t>
  </si>
  <si>
    <t>Note: Burner Btuh = 0 for direct-vent appliance</t>
  </si>
  <si>
    <t>Table 8 Outdoor Air Requirement</t>
  </si>
  <si>
    <t>Outdoor air Cfm for 0.35 ACH requirement:</t>
  </si>
  <si>
    <t>0.35 x above grade volume / 60  =</t>
  </si>
  <si>
    <t>Outdoor air Cfm for occupants:</t>
  </si>
  <si>
    <t>20 x number of occupants =</t>
  </si>
  <si>
    <t>Outdoor air Cfm for burners that take combustion air from conditioned space:</t>
  </si>
  <si>
    <t>0.50 x input capacity (Btuh) / 1000 =</t>
  </si>
  <si>
    <t>Suggest value for fresh air Cfm:</t>
  </si>
  <si>
    <t>Maximum value from lines 1, 2 or 3 =</t>
  </si>
  <si>
    <t>Envelope Infiltration Rate</t>
  </si>
  <si>
    <t>Tightness of construction:</t>
  </si>
  <si>
    <t>Envelope =</t>
  </si>
  <si>
    <t>Average</t>
  </si>
  <si>
    <t>Table 5A ACH for heating</t>
  </si>
  <si>
    <t>Envelope ACH (heating) =</t>
  </si>
  <si>
    <t>Fixed Bug for Cooling Design Temperature Difference Less Than 10 Degrees</t>
  </si>
  <si>
    <t>Fixed Bug in Ducts with Greater than 100 Degree Outdoor Design Temperatures</t>
  </si>
  <si>
    <t>16B-19; FHA Vented Attic; R19; Asphalt Shingles; Dark</t>
  </si>
  <si>
    <t>Corrected Ceiling Example</t>
  </si>
  <si>
    <t>Version MJ8ae 1.05 17JAN06</t>
  </si>
  <si>
    <t>Table 5A ACH for cooling</t>
  </si>
  <si>
    <t>Envelope ACH (cooling) =</t>
  </si>
  <si>
    <t xml:space="preserve">Infiltration Cfm for heating: </t>
  </si>
  <si>
    <t>Line 6 ACH x above grade volume  for heating / 60 + Line 6 fireplace Cfm x number of fireplaces =</t>
  </si>
  <si>
    <t xml:space="preserve">Infiltration Cfm for cooling: </t>
  </si>
  <si>
    <t>We strongly suggest that you refer to the training video including on the CD for step-by-step instructions</t>
  </si>
  <si>
    <t>to quickly learn the features of this spreadsheet.</t>
  </si>
  <si>
    <t>component information that is commonly used in your construction market.  This information will then</t>
  </si>
  <si>
    <t>Manual J, 8th Edition, Abridged Version.</t>
  </si>
  <si>
    <t>Excel are prerequisites for using this spreadsheet.</t>
  </si>
  <si>
    <r>
      <t xml:space="preserve">The header portion of the </t>
    </r>
    <r>
      <rPr>
        <b/>
        <sz val="10"/>
        <rFont val="Arial"/>
        <family val="2"/>
      </rPr>
      <t>J1 Form</t>
    </r>
    <r>
      <rPr>
        <sz val="10"/>
        <rFont val="Arial"/>
        <family val="2"/>
      </rPr>
      <t xml:space="preserve"> must be populated with design data from your geographical region. </t>
    </r>
  </si>
  <si>
    <r>
      <t xml:space="preserve">The five tabs labeled </t>
    </r>
    <r>
      <rPr>
        <b/>
        <sz val="10"/>
        <rFont val="Arial"/>
        <family val="2"/>
      </rPr>
      <t xml:space="preserve">Doors, Glass, Walls, Ceilings </t>
    </r>
    <r>
      <rPr>
        <sz val="10"/>
        <rFont val="Arial"/>
        <family val="2"/>
      </rPr>
      <t>and</t>
    </r>
    <r>
      <rPr>
        <b/>
        <sz val="10"/>
        <rFont val="Arial"/>
        <family val="2"/>
      </rPr>
      <t xml:space="preserve"> Floors</t>
    </r>
    <r>
      <rPr>
        <sz val="10"/>
        <rFont val="Arial"/>
        <family val="2"/>
      </rPr>
      <t xml:space="preserve"> must be populated with building</t>
    </r>
  </si>
  <si>
    <r>
      <t xml:space="preserve">be used as various lookup tables on the </t>
    </r>
    <r>
      <rPr>
        <b/>
        <sz val="10"/>
        <rFont val="Arial"/>
        <family val="2"/>
      </rPr>
      <t>J1 Form</t>
    </r>
    <r>
      <rPr>
        <sz val="10"/>
        <rFont val="Arial"/>
        <family val="2"/>
      </rPr>
      <t xml:space="preserve"> and </t>
    </r>
    <r>
      <rPr>
        <b/>
        <sz val="10"/>
        <rFont val="Arial"/>
        <family val="2"/>
      </rPr>
      <t>Glass Schedule</t>
    </r>
    <r>
      <rPr>
        <sz val="10"/>
        <rFont val="Arial"/>
        <family val="2"/>
      </rPr>
      <t xml:space="preserve"> tabs. </t>
    </r>
  </si>
  <si>
    <r>
      <t xml:space="preserve">Once the header portion of the </t>
    </r>
    <r>
      <rPr>
        <b/>
        <sz val="10"/>
        <rFont val="Arial"/>
        <family val="2"/>
      </rPr>
      <t>J1 Form</t>
    </r>
    <r>
      <rPr>
        <sz val="10"/>
        <rFont val="Arial"/>
        <family val="2"/>
      </rPr>
      <t xml:space="preserve"> and the five building attribute tabs are populated you may now</t>
    </r>
  </si>
  <si>
    <r>
      <t>Welcome to the electronic spreadsheet version (</t>
    </r>
    <r>
      <rPr>
        <b/>
        <sz val="10"/>
        <rFont val="Arial"/>
        <family val="2"/>
      </rPr>
      <t>MJ8</t>
    </r>
    <r>
      <rPr>
        <b/>
        <sz val="8"/>
        <rFont val="Arial"/>
        <family val="2"/>
      </rPr>
      <t>AE</t>
    </r>
    <r>
      <rPr>
        <sz val="10"/>
        <rFont val="Arial"/>
        <family val="2"/>
      </rPr>
      <t>) of the ACCA</t>
    </r>
  </si>
  <si>
    <t>Fixed Calculations for Summer Design Conditions Less than 85 Degrees</t>
  </si>
  <si>
    <r>
      <t xml:space="preserve">A thorough understanding of the printed </t>
    </r>
    <r>
      <rPr>
        <b/>
        <sz val="10"/>
        <rFont val="Arial"/>
        <family val="2"/>
      </rPr>
      <t>MJ8</t>
    </r>
    <r>
      <rPr>
        <b/>
        <sz val="8"/>
        <rFont val="Arial"/>
        <family val="2"/>
      </rPr>
      <t>AE</t>
    </r>
    <r>
      <rPr>
        <sz val="10"/>
        <rFont val="Arial"/>
        <family val="2"/>
      </rPr>
      <t xml:space="preserve"> manual as well as a working knowledge of Microsoft</t>
    </r>
  </si>
  <si>
    <r>
      <t xml:space="preserve">To minimize data entry, this spreadsheet uses revised versions of the printed </t>
    </r>
    <r>
      <rPr>
        <b/>
        <sz val="10"/>
        <rFont val="Arial"/>
        <family val="2"/>
      </rPr>
      <t>MJ8</t>
    </r>
    <r>
      <rPr>
        <b/>
        <sz val="8"/>
        <rFont val="Arial"/>
        <family val="2"/>
      </rPr>
      <t>AE</t>
    </r>
    <r>
      <rPr>
        <sz val="10"/>
        <rFont val="Arial"/>
        <family val="2"/>
      </rPr>
      <t xml:space="preserve"> worksheets.</t>
    </r>
  </si>
  <si>
    <t>Line 7 ACH x above grade volume  for cooling / 60 =</t>
  </si>
  <si>
    <t>Infiltration load for heating (Btuh):</t>
  </si>
  <si>
    <t>To J1ae &gt;</t>
  </si>
  <si>
    <t>&lt; 1.1 x ACF x Line 8 Cfm x HTD</t>
  </si>
  <si>
    <t>Sensible infiltration load for cooling (Btuh):</t>
  </si>
  <si>
    <t>&lt; 1.1 x ACF x Line 9 Cfm x CTD</t>
  </si>
  <si>
    <t>Latent infiltration load for cooling (Btuh):</t>
  </si>
  <si>
    <t>To J1ae&gt;</t>
  </si>
  <si>
    <t>&lt; 0.68 x ACF x Line 9 Cfm x Grains</t>
  </si>
  <si>
    <t>Fixed Bug in Daily Range Calculation Table</t>
  </si>
  <si>
    <t>Revised Summary Report to New Tab</t>
  </si>
  <si>
    <t>Version MJ8ae 1.07 27MAR06</t>
  </si>
  <si>
    <t>.</t>
  </si>
  <si>
    <t>Fixed Bug in Infiltration</t>
  </si>
  <si>
    <t>Version MJ8ae 1.09 16MAY06</t>
  </si>
  <si>
    <t xml:space="preserve">Manual Overide Entry for Design CFM </t>
  </si>
  <si>
    <t>Suggested Value for Engineered Ventilation Cfm</t>
  </si>
  <si>
    <t>Compare infiltration rate with suggested fresh air rate:</t>
  </si>
  <si>
    <t>Line 4 Cfm -  line 8 Cfm for heating =</t>
  </si>
  <si>
    <t>Line 4 Cfm -  line 9 Cfm for cooling =</t>
  </si>
  <si>
    <t>Suggest value for engineered ventilation Cfm:</t>
  </si>
  <si>
    <t>&lt; Largest positive value from line 13 (see line 11, Worksheet H)</t>
  </si>
  <si>
    <t>Envelope Leakage</t>
  </si>
  <si>
    <t>No. of Fireplaces</t>
  </si>
  <si>
    <t>Tight</t>
  </si>
  <si>
    <t>Semi-Tight</t>
  </si>
  <si>
    <t>Semi-Loose</t>
  </si>
  <si>
    <t>Loose</t>
  </si>
  <si>
    <t>3+</t>
  </si>
  <si>
    <t>WAR</t>
  </si>
  <si>
    <t>Elevation</t>
  </si>
  <si>
    <t>Latitude</t>
  </si>
  <si>
    <t>Ks</t>
  </si>
  <si>
    <t>Kr</t>
  </si>
  <si>
    <t>Daily Range</t>
  </si>
  <si>
    <t>Worksheet H: Engineered Ventilation</t>
  </si>
  <si>
    <t>Above grade volume</t>
  </si>
  <si>
    <t>Code Value for Outdoor Cfm</t>
  </si>
  <si>
    <t>ACH per local code =</t>
  </si>
  <si>
    <t>or      Cfm required by local code =</t>
  </si>
  <si>
    <t>Largest above grade volume =</t>
  </si>
  <si>
    <t>Outdoor air Cfm for code ACH value =</t>
  </si>
  <si>
    <t>&lt; ACH (line 1) x volume (line 2) / 60</t>
  </si>
  <si>
    <t>Code value for outdoor air Cfm =</t>
  </si>
  <si>
    <t>&lt; Largest Cfm value from line 1 or 3</t>
  </si>
  <si>
    <t>Code Cfm can be provided by a combination of infiltration and engineered ventilation (yes/no)</t>
  </si>
  <si>
    <t>Code Cfm shall be provided by engineered ventilation (yes/no)</t>
  </si>
  <si>
    <t>Smallest infiltration Cfm value (see lines 8 &amp; 9 Worksheet E) =</t>
  </si>
  <si>
    <t>Code Cfm requirement</t>
  </si>
  <si>
    <t>&lt; If line 5 = yes; Cfm = line 4 - line 7) or if line 6 = yes (Cfm = line 4 value)</t>
  </si>
  <si>
    <t>Design Value for Engineered Ventilation Cfm</t>
  </si>
  <si>
    <t>Suggested ventilation Cfm (line 14 Worksheet E) =</t>
  </si>
  <si>
    <t>Design value for ventilation Cfm   =</t>
  </si>
  <si>
    <t>&lt; See Section 3-13, Manual MJ8ae</t>
  </si>
  <si>
    <t>Note 1: Code Cfm value is a mandatory minimum. The system designer may chose to use a larger value.</t>
  </si>
  <si>
    <t>Note 2: Use the unabridged version of Manual J if the design Cfm value exceeds 50 Cfm.</t>
  </si>
  <si>
    <t>Note 2: Use the unabridged version of Manual J if the design features heat recovery equipment.</t>
  </si>
  <si>
    <t>Ventilation Loads</t>
  </si>
  <si>
    <t>Ventilation load for heating (Btuh):</t>
  </si>
  <si>
    <t>&lt; 1.1 x ACF x Line 10 Cfm x HTD</t>
  </si>
  <si>
    <t>Sensible ventilation load for cooling (Btuh):</t>
  </si>
  <si>
    <t>&lt; 1.1 x ACF x Line 10 Cfm x CTD</t>
  </si>
  <si>
    <t>Latent ventilation load for cooling (Btuh):</t>
  </si>
  <si>
    <t>&lt; 0.68 x ACF x Line 10 Cfm x Grains</t>
  </si>
  <si>
    <t>SAA (heating and sensible cooling) =</t>
  </si>
  <si>
    <t>LGA (latent cooling) =</t>
  </si>
  <si>
    <t>LCF Latent</t>
  </si>
  <si>
    <t>Duct System Type</t>
  </si>
  <si>
    <t>Room Name</t>
  </si>
  <si>
    <t>Cfm for 1 Fireplace =</t>
  </si>
  <si>
    <t>Cfm for all fireplaces =</t>
  </si>
  <si>
    <t>VERTICAL GLASS</t>
  </si>
  <si>
    <t>♦ Windows, Glass Doors &amp; Skylights</t>
  </si>
  <si>
    <t>y</t>
  </si>
  <si>
    <t xml:space="preserve">Supply </t>
  </si>
  <si>
    <t xml:space="preserve">Return </t>
  </si>
  <si>
    <t>Windows &amp; Glass Doors</t>
  </si>
  <si>
    <t>Wood &amp; Metal Doors</t>
  </si>
  <si>
    <t>Above Grade Walls</t>
  </si>
  <si>
    <t>Partition Walls</t>
  </si>
  <si>
    <t>Below Grade Walls</t>
  </si>
  <si>
    <t>Partition Ceilings</t>
  </si>
  <si>
    <t>Passive Floors</t>
  </si>
  <si>
    <t>Slab Floors</t>
  </si>
  <si>
    <t>Partition Floors</t>
  </si>
  <si>
    <t>Total Sensible</t>
  </si>
  <si>
    <t>Total Latent</t>
  </si>
  <si>
    <t>Total Cooling Load</t>
  </si>
  <si>
    <t>Construction Components</t>
  </si>
  <si>
    <t>Total Area</t>
  </si>
  <si>
    <t>Combustion Air From Conditioned Space</t>
  </si>
  <si>
    <t>25 CFM</t>
  </si>
  <si>
    <t>Table 8A CFM</t>
  </si>
  <si>
    <t>50 Cfm (Max. for MJ8ae)</t>
  </si>
  <si>
    <t>11N, Metal, Polystyrene Core</t>
  </si>
  <si>
    <t>Base Case Heat Loss Factor (BHLF)</t>
  </si>
  <si>
    <t xml:space="preserve">Smaller Floor Area Value &gt; </t>
  </si>
  <si>
    <t>Square Feet of Floor Area</t>
  </si>
  <si>
    <t>OAT</t>
  </si>
  <si>
    <t xml:space="preserve">Smaller OAT Value &gt; </t>
  </si>
  <si>
    <t>Look Up Engine # 1</t>
  </si>
  <si>
    <t>Interp</t>
  </si>
  <si>
    <t>Look Up Engine # 2</t>
  </si>
  <si>
    <t>Oat</t>
  </si>
  <si>
    <t>Value</t>
  </si>
  <si>
    <t>Look Up Engine # 3</t>
  </si>
  <si>
    <t>Look Up Engine # 4</t>
  </si>
  <si>
    <t>SqFt =</t>
  </si>
  <si>
    <t>OAT =</t>
  </si>
  <si>
    <t>BHLF =</t>
  </si>
  <si>
    <t>Base Case Heat Loss Factor (BLG)</t>
  </si>
  <si>
    <t>Base Case Heat Loss Factor (BSFG)</t>
  </si>
  <si>
    <t xml:space="preserve">Smaller Grains Value &gt; </t>
  </si>
  <si>
    <t>BSFG =</t>
  </si>
  <si>
    <t>BLG =</t>
  </si>
  <si>
    <t>Default Duct Wall Surface Area (SqFt)</t>
  </si>
  <si>
    <t>Supply</t>
  </si>
  <si>
    <t>Return</t>
  </si>
  <si>
    <t>LCF</t>
  </si>
  <si>
    <t>HTG</t>
  </si>
  <si>
    <t>CLG</t>
  </si>
  <si>
    <t>Latent</t>
  </si>
  <si>
    <t>RVC</t>
  </si>
  <si>
    <t>Table</t>
  </si>
  <si>
    <t>SA</t>
  </si>
  <si>
    <t>RA</t>
  </si>
  <si>
    <t>Default Duct Wall Surface Area</t>
  </si>
  <si>
    <t>RSA =</t>
  </si>
  <si>
    <t>SSA =</t>
  </si>
  <si>
    <t>Look Up Engine # 2-SA</t>
  </si>
  <si>
    <t>Look Up Engine # 1-SA</t>
  </si>
  <si>
    <t>Look Up Engine # 1-RA</t>
  </si>
  <si>
    <t xml:space="preserve">Conditioned Floor Area (Sq. Ft.) </t>
  </si>
  <si>
    <t>Grains Difference</t>
  </si>
  <si>
    <t>3) You can enter up to 6 different ceiling types (construction numbers 16, 17 and 18).</t>
  </si>
  <si>
    <t xml:space="preserve">Number of Bedrooms  </t>
  </si>
  <si>
    <t xml:space="preserve">Occupants  </t>
  </si>
  <si>
    <t xml:space="preserve">Above Grade  = Cu. Ft. </t>
  </si>
  <si>
    <t>● Latitude</t>
  </si>
  <si>
    <t>Refer to Manual J8ae and enter the following information for the design location.</t>
  </si>
  <si>
    <r>
      <t xml:space="preserve">● Make sure that </t>
    </r>
    <r>
      <rPr>
        <b/>
        <sz val="9"/>
        <rFont val="Arial"/>
        <family val="2"/>
      </rPr>
      <t>work in progress</t>
    </r>
    <r>
      <rPr>
        <sz val="9"/>
        <rFont val="Arial"/>
        <family val="2"/>
      </rPr>
      <t xml:space="preserve"> edits produce the desired result.</t>
    </r>
  </si>
  <si>
    <t>● Orange cells hold subtotals or totals for heat loss and heat gain (locked and not accessible to user).</t>
  </si>
  <si>
    <t>Construction Detail</t>
  </si>
  <si>
    <t>Fixed Bug in Ducts with Sq. Ft. Greater than 3000</t>
  </si>
  <si>
    <t>* You can enter up to 6 different door types (construction number 11A and 11B).</t>
  </si>
  <si>
    <t>* Applies to the above grade area of a basement wall.</t>
  </si>
  <si>
    <t>* CLTD lookup is automatic, just enter group number (click check box for shaded wall).</t>
  </si>
  <si>
    <t>Partition Wall (PTDH and PTDC)</t>
  </si>
  <si>
    <t>* A wall that separates a conditioned space from an unconditioned space.</t>
  </si>
  <si>
    <t>* A garage  partition, providing the overhead door is normally closed.</t>
  </si>
  <si>
    <t>* Use Table 4C to estimate PTDH and PTDC for selected scenarios.</t>
  </si>
  <si>
    <t>* Values for PTDH and PTDC may be based on personal observations and experience.</t>
  </si>
  <si>
    <t>* If the partition has plaster board on both sides, use the values for exterior finish = "Siding."</t>
  </si>
  <si>
    <t>* Walls that are not more than two feet below grade are classified as above grade.</t>
  </si>
  <si>
    <t>* Applies to the below grade area of basement wall that is partially above grade.</t>
  </si>
  <si>
    <t>Population Instructions for Ceilings and Partition Ceilings</t>
  </si>
  <si>
    <t>2) Input values for ceilings and partition ceilings are extracted from Table 4A in the printed MJ8ae book.</t>
  </si>
  <si>
    <t>* The construction number, U-value and CLTD are extracted from Table 4A (CLTD not required for heating-only).</t>
  </si>
  <si>
    <t>* For example:</t>
  </si>
  <si>
    <t>4) You can enter up to 3 different partition ceilings (construction number 16B).</t>
  </si>
  <si>
    <t>* The construction number and U-value are extracted from Table 4A, Construction 16B.</t>
  </si>
  <si>
    <t>Construction Attributes for Ceilings (for MJ8ae Applications)</t>
  </si>
  <si>
    <t>* Ceiling below attic = #16B (FHA ventilated attic, no radiant barrier, R0 to R56, dark shingle roof).</t>
  </si>
  <si>
    <t>* Ceiling below deck on exposed beams = #17A (R0 to R34, dark shingle roof).</t>
  </si>
  <si>
    <t>* Ceiling below deck-joist-ceiling sandwich = #18A (R0 to R38, dark shingle roof).</t>
  </si>
  <si>
    <t>Construction Attributes for Partition Ceilings</t>
  </si>
  <si>
    <t>* Ceiling below an unconditioned room = #16B (use U-value for R0 to R56 insulation).</t>
  </si>
  <si>
    <t>* Ceiling below an encapsulated attic = #16B (use U-value for R0 to R56 insulation).</t>
  </si>
  <si>
    <t>* Use Table 4C to estimate PTDH and PTDC for ceiling under an encapsulated attic.</t>
  </si>
  <si>
    <t>Attic Duct Systems</t>
  </si>
  <si>
    <t>* Load factors for attic duct systems shall be compatible with the type of attic ceiling.</t>
  </si>
  <si>
    <t>* For 16B ceilings, use MJ8ae Tables 7A-AE, 7B-AE or 7C-AE</t>
  </si>
  <si>
    <t>Population Instructions for Floors and Floor Partitions</t>
  </si>
  <si>
    <t>2) Input values for floors and partition floors are extracted from Table 4A in the printed MJ8ae book.</t>
  </si>
  <si>
    <t>3) You can enter up to 3 different "over-crawlspace," "over-basement" floors.</t>
  </si>
  <si>
    <t>* The construction number, U-value, PTDH and PTDC are extracted from Table 4A, Construction 19A.</t>
  </si>
  <si>
    <t>* For example: Crawlspace floor; HTD =70; CTD = 20, Daily range = Medium</t>
  </si>
  <si>
    <t>* The construction number and U-value are extracted from Table 4A, Construction 19A.</t>
  </si>
  <si>
    <t>* Values for PTDH and PTDC are obtained from Table 4C, or by observation and experience.</t>
  </si>
  <si>
    <t>* The construction number, U-value and CLTD are extracted from Table 4A, Construction 20.</t>
  </si>
  <si>
    <t>6) You can enter up to 3 different basement floors.</t>
  </si>
  <si>
    <t>* The construction number and U-value and CLTD are extracted from Table 4A, Construction 21.</t>
  </si>
  <si>
    <t>7) You can enter up to 3 different slab floors.</t>
  </si>
  <si>
    <t>* The construction number and U-value is extracted from Table 4A, Construction 22.</t>
  </si>
  <si>
    <t>● For a block load, enter block surface area values in the first room column and leave the other room columns blank.</t>
  </si>
  <si>
    <t>Version MJ8ae 1.12 31OCT06</t>
  </si>
  <si>
    <t>Fixed Error in Shaded Wall Calculation</t>
  </si>
  <si>
    <t>● For room loads and the associated block load, use one column for each room and enter the appropriate surface area values in each room column.</t>
  </si>
  <si>
    <t>● Use the "save as" command and a project name ("Jones Residence," for example).</t>
  </si>
  <si>
    <t xml:space="preserve">      Note: Ignore the Glass Sched tab for now.</t>
  </si>
  <si>
    <t>● Yellow cells are user lookup cells (click on the cell, then click on the the pull-down menu, then select an item).</t>
  </si>
  <si>
    <t>● White cells require user input (type input values directly into the cell).</t>
  </si>
  <si>
    <t>Exposed Floors</t>
  </si>
  <si>
    <t>Removed Macros</t>
  </si>
  <si>
    <t>Added Room CFM Calculation to New Summary Report</t>
  </si>
  <si>
    <t xml:space="preserve">Heated &amp; Cooled
Floor Area = Sq. Ft.  </t>
  </si>
  <si>
    <t>Version MJ8ae 1.08 24APR06</t>
  </si>
  <si>
    <t>Fixed Bug in Floors Over Open Areas</t>
  </si>
  <si>
    <t>● Green cells contain text cells (row and column headings, etc.) that are locked (not accessible to user).</t>
  </si>
  <si>
    <t>● Blue cells are output (formula) cells that are locked (not accessible to the user).</t>
  </si>
  <si>
    <t>3)</t>
  </si>
  <si>
    <t xml:space="preserve">Move to the J1 Form tab; enter values in the white cells and select yellow-cell options. </t>
  </si>
  <si>
    <t>Note: These choices and areas are automatically transcribed to the Form J1 tab.</t>
  </si>
  <si>
    <t>Note: Example problem solutions in the MJ8ae book (for the Vatilo, Victor and Long problems) are slightly different than the solutions provided</t>
  </si>
  <si>
    <t>by the book.</t>
  </si>
  <si>
    <t xml:space="preserve">CD solutions for infiltration loads and duct loads use exact interpolations (automatically performed by the MJ8ae spreadsheet). </t>
  </si>
  <si>
    <t>Book solutions use ballpark interpolations.</t>
  </si>
  <si>
    <t>Book solutions may use a slightly different input for ventilation CFM.</t>
  </si>
  <si>
    <t>Appliance - 0 BTUH</t>
  </si>
  <si>
    <t xml:space="preserve">CD solutions for ventilation loads uses one of the ventilation Cfm options (selection item on From J1). </t>
  </si>
  <si>
    <t xml:space="preserve">     * Assign occupants to selected rooms (total occupancy for all rooms shall not exceed number of bedrooms plus one).</t>
  </si>
  <si>
    <t xml:space="preserve">     * Assign appliance loads (Btuh) to the rooms (none to as much as 1,200 Btuh -- see MJ8ae Table 6A for distribution rules.). </t>
  </si>
  <si>
    <t>● Detailed population instructions and helpful notes are provided with each surface tab (you may need to scroll down to see them).</t>
  </si>
  <si>
    <t xml:space="preserve">Installed Square Feet of Surface or Default = 1 </t>
  </si>
  <si>
    <t>From this point, the load estimate is accomplished in about 10 minutes (for a block load) to about 20 minutes (for room-by-room loads).</t>
  </si>
  <si>
    <t>On the Glass Sched tab, enter values for the rough opening (W and H) and the overhang dimensions (X and Y) in the white cells.</t>
  </si>
  <si>
    <t xml:space="preserve">      Note: For block load only, copy the blue-cell values to the white cells in the room-1 column; or enter values for each room.</t>
  </si>
  <si>
    <t>Construction Attributes for Floor Over a Closed Crawlspace (for MJ8ae Applications)</t>
  </si>
  <si>
    <t>* A floor over a closed crawlspace or unconditioned basement is a partition floor.</t>
  </si>
  <si>
    <t>* Use #19A (sealed or vented / leaky; no wall insulation, R0 to R38 floor insulation; carpet, tile or bare floor.</t>
  </si>
  <si>
    <t>* Temperature difference (PTDH and PTDC) across floor provided by Table 4A, Construction 19A.</t>
  </si>
  <si>
    <t>* Passive floor (no radiant heat).</t>
  </si>
  <si>
    <t>Construction Attributes for Partition Floor (for MJ8ae Applications)</t>
  </si>
  <si>
    <t>* A floor over closed, unconditioned room is a partition floor.</t>
  </si>
  <si>
    <t>* Use #19A to determine U-Value.</t>
  </si>
  <si>
    <t>* Use Table 4C to estimate PTDH and PTDC for floor over closed garage.</t>
  </si>
  <si>
    <t>Construction Attributes for Floor Exposed to Outdoor Air (for MJ8ae Applications)</t>
  </si>
  <si>
    <t>* Floor over an open crawlspace, open garage, carport, wall overhang, etc. is an exposed floor.</t>
  </si>
  <si>
    <t>* R0 to R38 insulation; tile, vinyl or hardwood floor cover.</t>
  </si>
  <si>
    <t>Construction Attributes for Basement Floor (for MJ8ae Applications)</t>
  </si>
  <si>
    <t>* No insulation below floor, any floor cover.</t>
  </si>
  <si>
    <t>Construction Attributes for Slab Floor (for MJ8ae Applications)</t>
  </si>
  <si>
    <t>Added Manual D CFM Column to Summary Tab</t>
  </si>
  <si>
    <t>Fixed Error in Latent Load for Ducts with Design Grains Equal to or Greater than 60</t>
  </si>
  <si>
    <t>7E</t>
  </si>
  <si>
    <t>* Uninsulated; or insulation (R5, R10 or R15 ) covers exposed edge and extends straight down (3 feet).</t>
  </si>
  <si>
    <t>* Three choices of soil conditions.</t>
  </si>
  <si>
    <t>Heating
U-Value</t>
  </si>
  <si>
    <r>
      <t xml:space="preserve">* Input values from Table 2A or Appendix 10 of the unabridged version of </t>
    </r>
    <r>
      <rPr>
        <b/>
        <i/>
        <sz val="9"/>
        <color indexed="10"/>
        <rFont val="Arial"/>
        <family val="2"/>
      </rPr>
      <t>Manual J</t>
    </r>
    <r>
      <rPr>
        <sz val="9"/>
        <color indexed="10"/>
        <rFont val="Arial"/>
        <family val="2"/>
      </rPr>
      <t xml:space="preserve"> are valid entries.</t>
    </r>
  </si>
  <si>
    <r>
      <t xml:space="preserve">* HTM values from Table 3D-1 of the unabridged version of </t>
    </r>
    <r>
      <rPr>
        <b/>
        <i/>
        <sz val="9"/>
        <color indexed="10"/>
        <rFont val="Arial"/>
        <family val="2"/>
      </rPr>
      <t>Manual J</t>
    </r>
    <r>
      <rPr>
        <sz val="9"/>
        <color indexed="10"/>
        <rFont val="Arial"/>
        <family val="2"/>
      </rPr>
      <t xml:space="preserve"> are valid entries.</t>
    </r>
  </si>
  <si>
    <t>Shaded Wall</t>
  </si>
  <si>
    <r>
      <t xml:space="preserve">* Input values for all constructions listed in Table 4A of the unabridged version of </t>
    </r>
    <r>
      <rPr>
        <b/>
        <i/>
        <sz val="9"/>
        <color indexed="10"/>
        <rFont val="Arial"/>
        <family val="2"/>
      </rPr>
      <t>Manual J</t>
    </r>
    <r>
      <rPr>
        <sz val="9"/>
        <color indexed="10"/>
        <rFont val="Arial"/>
        <family val="2"/>
      </rPr>
      <t xml:space="preserve"> are valid entries.</t>
    </r>
  </si>
  <si>
    <t>* For example, partition wall for garage 1 (see Table 4C): 99% db = 20 ºF &amp; room = 70 °F; 1% drybulb = 100 °F, high daily range &amp; room = 75 °F</t>
  </si>
  <si>
    <t>Yes</t>
  </si>
  <si>
    <r>
      <t xml:space="preserve">* Input values for ceiling constructions listed in Table 4A (#16A -&gt; #16F, #17A -&gt; #17C or #18A -&gt; #18C) of the unabridged version of </t>
    </r>
    <r>
      <rPr>
        <b/>
        <i/>
        <sz val="9"/>
        <color indexed="10"/>
        <rFont val="Arial"/>
        <family val="2"/>
      </rPr>
      <t>Manual J</t>
    </r>
    <r>
      <rPr>
        <sz val="9"/>
        <color indexed="10"/>
        <rFont val="Arial"/>
        <family val="2"/>
      </rPr>
      <t xml:space="preserve"> are valid entries.</t>
    </r>
  </si>
  <si>
    <r>
      <t xml:space="preserve">* See unabridged </t>
    </r>
    <r>
      <rPr>
        <b/>
        <i/>
        <sz val="9"/>
        <color indexed="10"/>
        <rFont val="Arial"/>
        <family val="2"/>
      </rPr>
      <t>Manual J</t>
    </r>
    <r>
      <rPr>
        <sz val="9"/>
        <color indexed="10"/>
        <rFont val="Arial"/>
        <family val="2"/>
      </rPr>
      <t xml:space="preserve"> tables 7A, 7C, 7D, 7E or 7F for duct systems above other types of attic ceilings.</t>
    </r>
  </si>
  <si>
    <r>
      <t xml:space="preserve">* Use unabridged </t>
    </r>
    <r>
      <rPr>
        <b/>
        <i/>
        <sz val="9"/>
        <color indexed="10"/>
        <rFont val="Arial"/>
        <family val="2"/>
      </rPr>
      <t>Manual J</t>
    </r>
    <r>
      <rPr>
        <sz val="9"/>
        <color indexed="10"/>
        <rFont val="Arial"/>
        <family val="2"/>
      </rPr>
      <t xml:space="preserve"> Table 7F for duct system in an encapsulated attic.</t>
    </r>
  </si>
  <si>
    <r>
      <t xml:space="preserve">* Input values for floor constructions listed in Table 4A (#19A -&gt; #19D, #20, #21A-&gt;21B or #22A -&gt; #22D) of the unabridged version of </t>
    </r>
    <r>
      <rPr>
        <b/>
        <i/>
        <sz val="9"/>
        <color indexed="10"/>
        <rFont val="Arial"/>
        <family val="2"/>
      </rPr>
      <t>Manual J</t>
    </r>
    <r>
      <rPr>
        <sz val="9"/>
        <color indexed="10"/>
        <rFont val="Arial"/>
        <family val="2"/>
      </rPr>
      <t xml:space="preserve"> are valid entries.</t>
    </r>
  </si>
  <si>
    <t>Help Section</t>
  </si>
  <si>
    <t>●</t>
  </si>
  <si>
    <t>Single family detached dwellings shall have a normal amount of fenestration (total area of windows, glass doors and skylights shall not be more than 15 percent of the floor area).</t>
  </si>
  <si>
    <t>Windows and glass doors shall be equitably distributed around all sides of the dwelling.</t>
  </si>
  <si>
    <t>There shall be no large skylights in any room (skylight load area does not exceed 5% of floor area).</t>
  </si>
  <si>
    <t>Windows and glass doors shall have clear glass; skylights shall have a clear glazing.</t>
  </si>
  <si>
    <t>The dwelling shall have wood-frame or block (concrete or cinder) walls with brick, stucco or siding.</t>
  </si>
  <si>
    <t>The dwelling shall have a dark shingle roof.</t>
  </si>
  <si>
    <t>Attics shall be vented to FHA standards and shall have no radiant barrier.</t>
  </si>
  <si>
    <t>Simple default values for the appliance load shall be used to estimate internal gains.</t>
  </si>
  <si>
    <t>Heating shall be provided by a hot air system or electric baseboard heat.</t>
  </si>
  <si>
    <t>Indoor: Heating = 70 F; Cooling = 75 db F and 50% RH, unless superceded by code.</t>
  </si>
  <si>
    <t>Outdoor: Use values in Table 1A of this guide, unless superceded by code.</t>
  </si>
  <si>
    <t>Window and glass doors shall have clear (single, double or triple pane) glass.</t>
  </si>
  <si>
    <t>Window and glass door framing shall be metal, metal with break, wood or vinyl.</t>
  </si>
  <si>
    <t>Windows can have fixed or operable sash (sliding glass doors have an operable sash).</t>
  </si>
  <si>
    <t>Purpose-built daylight windows and skylights shall have no internal shade.</t>
  </si>
  <si>
    <t>All other windows and glass doors shall have internal shade.</t>
  </si>
  <si>
    <t>The default assumption for internal shade is a medium-color blind with the slats at 45 degrees.</t>
  </si>
  <si>
    <t>Windows and glass doors shall not be equipped with external sunscreens.</t>
  </si>
  <si>
    <t>An overhang adjustment shall be applied to all windows and glass doors.</t>
  </si>
  <si>
    <t>When the information is available, use the actual overhang geometry or use the default geometry.</t>
  </si>
  <si>
    <t>The default length of the overhang is one foot; the default height above the glazing is one foot.</t>
  </si>
  <si>
    <t>The heat-gain adjustment for any type of bug screen shall be 0.90.</t>
  </si>
  <si>
    <t>The heat loss and gain adjustment for a bay window shall be 1.15.</t>
  </si>
  <si>
    <t>The heat loss adjustments for a garden window shall be 2.75 and the heat gain adjustment shall be 2.00.</t>
  </si>
  <si>
    <t>The heat gain adjustment for a French door shall be 0.70.</t>
  </si>
  <si>
    <t>The foreground reflectance for window and glass door heat-gain shall be 0.20.</t>
  </si>
  <si>
    <t>A blower heat adjustment shall be made when manufacturer’s performance data is not discounted for blower heat.</t>
  </si>
  <si>
    <t>The blower heat adjustment shall be 500 Watts (1,707 BTU/h).</t>
  </si>
  <si>
    <t>The system designer shall evaluate (by tests specified in codes and standards) the potential for pressure conditions that could cause combustion appliance back-drafting.</t>
  </si>
  <si>
    <t>Version MJ8ae 1.10 19SEP06</t>
  </si>
  <si>
    <t>Fixed Cell Protection Errors in Glass Schedule</t>
  </si>
  <si>
    <r>
      <t xml:space="preserve">If the designer elects to provide engineered ventilation, fresh air shall be provided by piping outdoor air to the return-side of the duct system (refer to the unabridged version of </t>
    </r>
    <r>
      <rPr>
        <b/>
        <i/>
        <sz val="10"/>
        <rFont val="Times New Roman"/>
        <family val="1"/>
      </rPr>
      <t>Manual J</t>
    </r>
    <r>
      <rPr>
        <sz val="10"/>
        <rFont val="Times New Roman"/>
        <family val="1"/>
      </rPr>
      <t xml:space="preserve"> if the flow rate of outdoor air exceeds 50 CFM).</t>
    </r>
  </si>
  <si>
    <t>Table 8 offers guidance with no expressed or implied guarantee or warrantee; compliance is not mandatory.</t>
  </si>
  <si>
    <t>Table 8 shall be used to evaluate the fresh air requirement (ventilation rate) when there is no code requirement.</t>
  </si>
  <si>
    <t>Engineered ventilation is mandatory when required by code (the ventilation rate also may be determined by code).</t>
  </si>
  <si>
    <r>
      <t>The supply air temperature for heating shall default to 100</t>
    </r>
    <r>
      <rPr>
        <vertAlign val="superscript"/>
        <sz val="10"/>
        <rFont val="Times New Roman"/>
        <family val="1"/>
      </rPr>
      <t>o</t>
    </r>
    <r>
      <rPr>
        <sz val="10"/>
        <rFont val="Times New Roman"/>
        <family val="1"/>
      </rPr>
      <t>F (worst case for the heating load factor).</t>
    </r>
  </si>
  <si>
    <t>Version MJ8ae 1.04 05DEC05</t>
  </si>
  <si>
    <t>Leakage rates for sealed ducts shall default to 0.12 (supply-side) and 0.24 (return-side) CFM per Ft2 unless a tighter rating is justified by a duct leakage test.</t>
  </si>
  <si>
    <t>Duct runs (trunks and runouts) shall be (essentially) installed in one horizontal plane.</t>
  </si>
  <si>
    <t>All duct runs shall be in the conditioned space, or shall conform to one of the Table 7 scenarios.</t>
  </si>
  <si>
    <t>The latent gain produced by plants shall be evaluated</t>
  </si>
  <si>
    <t>The internal appliance-gain options are 1,200 BTU/h or 2,400 BTU/h.</t>
  </si>
  <si>
    <t>The number occupants shall equal the number of bedrooms plus one.</t>
  </si>
  <si>
    <t>Infiltration induced or reduced by duct runs in an unconditioned space is evaluated by the duct-table factors.</t>
  </si>
  <si>
    <t>All infiltration estimates shall be based on the ACH values provided by Table 5A of this guide.</t>
  </si>
  <si>
    <t>Dwellings shall be rated: very-tight, semi-tight, average, semi-loose and loose (definitions are provided).</t>
  </si>
  <si>
    <t>There shall be no space pressure adjustment for engineered ventilation that affects space pressure</t>
  </si>
  <si>
    <t>All floors shall be passive (no heating elements below the floor).</t>
  </si>
  <si>
    <t>Floors over an open space shall have carpet or tile cover with floor insulation options.</t>
  </si>
  <si>
    <t>Slab floors shall have vertical insulation that covers the edge, or no insulation.</t>
  </si>
  <si>
    <t>Slab floor soil conditions shall be heavy-moist; heavy-dry; light-wet; or light-dry.</t>
  </si>
  <si>
    <t>Basement floors shall be un-insulated.</t>
  </si>
  <si>
    <t>Floors over a closed space shall default to no wall insulation (for closed space), with floor insulation options.</t>
  </si>
  <si>
    <t>Version MJ8ae 1.14 30NOV06</t>
  </si>
  <si>
    <t>Floors over a closed space shall default to construction 19A (Table 4A, MJ8).</t>
  </si>
  <si>
    <t>Room Envelope Totals</t>
  </si>
  <si>
    <t>The ceiling options shall be: Attic ceiling, ceiling on exposed beams or joist-ceiling sandwich.</t>
  </si>
  <si>
    <t>The roofing material shall be dark-shingles.</t>
  </si>
  <si>
    <t>The roof deck material shall default to plywood for all types of roof construction.</t>
  </si>
  <si>
    <t>Attic construction shall default to FHA-vented with no radiant barrier.</t>
  </si>
  <si>
    <t>Knee walls shall be installed in a FHA-vented attic space.</t>
  </si>
  <si>
    <t>Insulation shall be blanket and/or board or fill (as appropriate for the type of roof construction).</t>
  </si>
  <si>
    <t>Above grade wall construction shall be wood-stud frame or empty-core block.</t>
  </si>
  <si>
    <t>Exterior finish options shall be brick veneer or stucco/siding.</t>
  </si>
  <si>
    <t>Interior finish shall default to gypsum board (i.e. plaster board, dry-wall, sheet rock, etc.)</t>
  </si>
  <si>
    <t>Below grade wall construction shall default to empty-core block.</t>
  </si>
  <si>
    <t>Block walls may have board insulation and/or wood-stud framing with blanket or fill insulation.</t>
  </si>
  <si>
    <t>Door glass area shall be ignored if the door glass area is less than or equal to 50% of the total door area.</t>
  </si>
  <si>
    <t>The French door option shall apply if the door glass area is more than 50% of the total door area.</t>
  </si>
  <si>
    <t>Skylight glazing shall be flat.</t>
  </si>
  <si>
    <t>Skylights shall have clear (single pane or double pane) glass.</t>
  </si>
  <si>
    <r>
      <t>After obtaining a spreadsheet solution, scrutinize the load summary and make sure the solution and its component values are realistic (instructions for evaluating the out put of the MJ8AE procedure is provided by Section 10 of MJ8</t>
    </r>
    <r>
      <rPr>
        <vertAlign val="subscript"/>
        <sz val="9"/>
        <rFont val="Arial"/>
        <family val="2"/>
      </rPr>
      <t>AE</t>
    </r>
    <r>
      <rPr>
        <sz val="9"/>
        <rFont val="Arial"/>
        <family val="2"/>
      </rPr>
      <t>).</t>
    </r>
  </si>
  <si>
    <r>
      <t xml:space="preserve">Use </t>
    </r>
    <r>
      <rPr>
        <b/>
        <sz val="9"/>
        <rFont val="Arial"/>
        <family val="2"/>
      </rPr>
      <t>Manual S</t>
    </r>
    <r>
      <rPr>
        <sz val="9"/>
        <rFont val="Arial"/>
        <family val="2"/>
      </rPr>
      <t xml:space="preserve"> and manufacturer’s applied performance data to size equipment.</t>
    </r>
  </si>
  <si>
    <r>
      <t xml:space="preserve">Use </t>
    </r>
    <r>
      <rPr>
        <b/>
        <sz val="9"/>
        <rFont val="Arial"/>
        <family val="2"/>
      </rPr>
      <t>Manual T</t>
    </r>
    <r>
      <rPr>
        <sz val="9"/>
        <rFont val="Arial"/>
        <family val="2"/>
      </rPr>
      <t xml:space="preserve"> and manufacturer’s performance data to select and size air distribution devices.</t>
    </r>
  </si>
  <si>
    <r>
      <t xml:space="preserve">Use </t>
    </r>
    <r>
      <rPr>
        <b/>
        <sz val="9"/>
        <rFont val="Arial"/>
        <family val="2"/>
      </rPr>
      <t>Manual D</t>
    </r>
    <r>
      <rPr>
        <sz val="9"/>
        <rFont val="Arial"/>
        <family val="2"/>
      </rPr>
      <t xml:space="preserve"> and the ACCA duct slide rule to design the duct system and to size airways.</t>
    </r>
  </si>
  <si>
    <t>What To Do Next</t>
  </si>
  <si>
    <t>Microsoft Excel® version 2000 and later is recommended to take full advantage of display objects and color schemes.</t>
  </si>
  <si>
    <t>A screen resolution of 1024 x 768 pixels is recommended to take full advantage of display screen formats.</t>
  </si>
  <si>
    <t>Table 4A -- Floors</t>
  </si>
  <si>
    <t>* Values for PTDH and PTDC are obtained from Table 4C or by personnel observations or experience
   (leave PTDC blank for heating-only).</t>
  </si>
  <si>
    <t>* For example, bonus room over garage number 2 (see Table 4C)
   99% db = 10 ºF &amp; room = 70 °F; 1% drybulb = 95 °F, medium daily range &amp; room = 75 °F</t>
  </si>
  <si>
    <t>Curb construction shall default to (un-insulated) wood 2x4; four inches high.</t>
  </si>
  <si>
    <t>Skylights shall not be equipped with an internal shade.</t>
  </si>
  <si>
    <t>Skylights shall not be equipped with a light shaft</t>
  </si>
  <si>
    <t>H-HTM</t>
  </si>
  <si>
    <t>C-HTM</t>
  </si>
  <si>
    <r>
      <t xml:space="preserve">   FORM J1</t>
    </r>
    <r>
      <rPr>
        <b/>
        <vertAlign val="subscript"/>
        <sz val="10"/>
        <rFont val="Helvetica"/>
        <family val="2"/>
      </rPr>
      <t>AE</t>
    </r>
    <r>
      <rPr>
        <b/>
        <sz val="10"/>
        <rFont val="Helvetica"/>
        <family val="2"/>
      </rPr>
      <t xml:space="preserve">  ●  ABRIDGED VERSION of MANUAL J, 8TH EDITION</t>
    </r>
  </si>
  <si>
    <t>Refer to the ACCA website for a comprehensive discussion of testing and balancing procedures.
www.acca.org</t>
  </si>
  <si>
    <t>Comply with applicable codes, standards and regulations.</t>
  </si>
  <si>
    <t xml:space="preserve">Use industry-certified methods and materials. </t>
  </si>
  <si>
    <t>1.</t>
  </si>
  <si>
    <t>2.</t>
  </si>
  <si>
    <t>3.</t>
  </si>
  <si>
    <t>4.</t>
  </si>
  <si>
    <t>5.</t>
  </si>
  <si>
    <t>6.</t>
  </si>
  <si>
    <t>7.</t>
  </si>
  <si>
    <t>* Use the Cooling column "look-up" menus to list the windows and glass doors and to select exposure directions; and to select</t>
  </si>
  <si>
    <t xml:space="preserve">  an insect screen adjustment (the projected window or French door adjustment for heating also applies to cooling).</t>
  </si>
  <si>
    <t xml:space="preserve">  adjustment.</t>
  </si>
  <si>
    <t>* Use the Heating column "look-up" menus to list the windows and glass doors, and to select a projected window / French door</t>
  </si>
  <si>
    <t>* For example, conditioned space under encapsulated attic (see Table 4C): 99% db = 40 ºF &amp; room = 70 °F; 1% drybulb = 90 °F, low daily range &amp; room = 75 °F</t>
  </si>
  <si>
    <r>
      <t xml:space="preserve">This electronic workbook (template) provides automatic calculation of the MJ8ae procedures and supports all MJ8ae sensitivities and capabilities. </t>
    </r>
    <r>
      <rPr>
        <sz val="9"/>
        <color indexed="10"/>
        <rFont val="Arial"/>
        <family val="2"/>
      </rPr>
      <t/>
    </r>
  </si>
  <si>
    <t>Using the Workbook to Calculate Loads for a Dwelling</t>
  </si>
  <si>
    <t>● Location: Enter the design city and state</t>
  </si>
  <si>
    <t>● Indoor design cooling default is 50% relative humidity</t>
  </si>
  <si>
    <t>● Outdoor design 99% db</t>
  </si>
  <si>
    <t>● Outdoor design 1% db</t>
  </si>
  <si>
    <t>● Elevation</t>
  </si>
  <si>
    <t>● Daily Range</t>
  </si>
  <si>
    <t>Fixed Error in line 11C on J1 Form</t>
  </si>
  <si>
    <t>Enter Construction Number, Glass Type, # Panes, Sash Type</t>
  </si>
  <si>
    <t>Table 4A -- Construction Number 11 -- Wood and Metal Doors</t>
  </si>
  <si>
    <t>Version MJ8ae 1.18 05JAN11</t>
  </si>
  <si>
    <t>Fixed Alpha-Numeric Look-up</t>
  </si>
  <si>
    <t>Utah, Saint George CO</t>
  </si>
  <si>
    <t>Saint George CO</t>
  </si>
  <si>
    <t>Missouri, Saint Joseph AP</t>
  </si>
  <si>
    <t>Missouri, Saint Louis AP</t>
  </si>
  <si>
    <t>Missouri, Saint Louis CO</t>
  </si>
  <si>
    <t>Saint Joseph AP</t>
  </si>
  <si>
    <t>Saint Louis AP</t>
  </si>
  <si>
    <t>Saint Louis CO</t>
  </si>
  <si>
    <t>Version MJ8ae 1.19 13MAR12</t>
  </si>
  <si>
    <t>Fixed Alpha Lookup for Cities</t>
  </si>
  <si>
    <t>Version MJ8ae 1.20 03MAY12</t>
  </si>
  <si>
    <t>Fixed Partition Floors</t>
  </si>
  <si>
    <t>@ Outdoor (Winter) 99% db</t>
  </si>
  <si>
    <t>@ Outdoor (Summer) 1% db</t>
  </si>
  <si>
    <t>Version MJ8ae 1.21 15May12</t>
  </si>
  <si>
    <t>Version MJ8ae 1.22 26JUN12</t>
  </si>
  <si>
    <t>Fixed error in Partition Floors</t>
  </si>
  <si>
    <t>Version MJ8ae 1.23 28AUG12</t>
  </si>
  <si>
    <t>Deleted auto look-up of outdoor design temperatures to alow entry of code required design temperatures</t>
  </si>
  <si>
    <t>Allow auto look-up design conditions to be overridden as per local codes.</t>
  </si>
  <si>
    <t>Fixed Daily Range error for Santa Ana, CA</t>
  </si>
  <si>
    <t>Version MJ8ae 1.24 10SEP12</t>
  </si>
  <si>
    <t>Georgia, Albany, Turner AFB</t>
  </si>
  <si>
    <t>California, Livermore</t>
  </si>
  <si>
    <t>Arkansas, Jonesboro</t>
  </si>
  <si>
    <t>Michigan, Adrian</t>
  </si>
  <si>
    <t>Minnesota, Mankato</t>
  </si>
  <si>
    <t>Oklahoma, Norman</t>
  </si>
  <si>
    <t>Texas, Longview</t>
  </si>
  <si>
    <t>Albany, Turner AFB</t>
  </si>
  <si>
    <t>Version MJ8ae 1.25 18APR13</t>
  </si>
  <si>
    <t>Fixed error in Cities</t>
  </si>
  <si>
    <t>Version MJ8ae 1.26 19AUG13</t>
  </si>
  <si>
    <t>Fixed Latent Gain error for cities over 70 grains</t>
  </si>
  <si>
    <t>Fixed Design Condition Range Errors</t>
  </si>
  <si>
    <t>Version MJ8ae 1.27 12MAY15</t>
  </si>
  <si>
    <t>Version MJ8ae 1.28 27DEC16</t>
  </si>
  <si>
    <t>ROOM 1</t>
  </si>
  <si>
    <t>ROOM 2</t>
  </si>
  <si>
    <t>ROOM 3</t>
  </si>
  <si>
    <t>ROOM 4</t>
  </si>
  <si>
    <t>ROOM 5</t>
  </si>
  <si>
    <t>ROOM 6</t>
  </si>
  <si>
    <t>ROOM 7</t>
  </si>
  <si>
    <t>ROOM 8</t>
  </si>
  <si>
    <t>ROOM 9</t>
  </si>
  <si>
    <t>14A-7, LOG, NO INSULATION, NO INTERIOR FINISH, NO EXTERIOR FINISH</t>
  </si>
  <si>
    <t>12F-0S W/M, FRAME, R21 CAVITY, NO BOARD, WOOD SHEATHING</t>
  </si>
  <si>
    <t>16B-38, FHA VENTED ATTIC, R38, DARK METAL</t>
  </si>
  <si>
    <t>LUKE AND KIMS HOME</t>
  </si>
  <si>
    <t>8BC-6, DOUBLE PANE, CLEAR, 40°, LARGE CURB, INSULATED SHAFT</t>
  </si>
  <si>
    <t>1D-C, CLEAR, DOUBLE PANE, GLASS DOOR, WOOD/VINYL FRAME</t>
  </si>
  <si>
    <t>1D-C, CLEAR, DOUBLE PANE, OPERABLE WINDOW, WOOD/VINYL FRAME</t>
  </si>
  <si>
    <t>21A-32, 30FT, NO INSULATION, NO COVER</t>
  </si>
  <si>
    <t>15B0-0-X, EIGHT INCH CONCRETE, NO FRAMING, NO INSULATION, NO FINISH, 5FT BELOW GRADE</t>
  </si>
  <si>
    <t>15B0-4SF-X, EIGHT INCH CONCRETE, NO FRAMING, R4, NO FINISH, 5FT BELOW GRADE</t>
  </si>
  <si>
    <t>15B21-0W-X, EIGHT INCH CONCRETE, R21 CAVITY, NO BOARD, INTERIOR FINISH, 5FT BELOW GRADE</t>
  </si>
  <si>
    <t>15B21-0W-X, EIGHT INCH CONCRETE, R21 CAVITY, NO BOARD, INTERIOR FINISH, ABOVE GRADE</t>
  </si>
  <si>
    <t>15B0-0-X, EIGHT INCH CONCRETE, NO FRAMING, NO INSULATION, NO FINISH, ABOVE GRADE</t>
  </si>
  <si>
    <t>15B0-4SF-X, EIGHT INCH CONCRETE, NO FRAMING, R4, NO FINISH, ABOVE GRADE</t>
  </si>
  <si>
    <t>11E, WOOD, SOLID CORE, METAL STORM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</si>
</sst>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General_)"/>
    <numFmt numFmtId="165" formatCode="#.00"/>
    <numFmt numFmtId="166" formatCode="#."/>
    <numFmt numFmtId="167" formatCode="m\o\n\th\ d\,\ yyyy"/>
    <numFmt numFmtId="168" formatCode="0_)"/>
    <numFmt numFmtId="169" formatCode="0.00_)"/>
    <numFmt numFmtId="170" formatCode="0.0_)"/>
    <numFmt numFmtId="171" formatCode="0.000_)"/>
    <numFmt numFmtId="172" formatCode="0;\-0;;@"/>
    <numFmt numFmtId="173" formatCode="0.0"/>
    <numFmt numFmtId="174" formatCode="0.000"/>
    <numFmt numFmtId="175" formatCode="0;\-0;&quot;0&quot;"/>
  </numFmts>
  <fonts count="81">
    <font>
      <sz val="12"/>
      <name val="Courier"/>
    </font>
    <font>
      <sz val="1"/>
      <color indexed="8"/>
      <name val="Courier"/>
      <family val="3"/>
    </font>
    <font>
      <b/>
      <sz val="1"/>
      <color indexed="8"/>
      <name val="Courier"/>
      <family val="3"/>
    </font>
    <font>
      <b/>
      <sz val="8"/>
      <color indexed="20"/>
      <name val="Helvetica-Narrow"/>
      <family val="2"/>
    </font>
    <font>
      <b/>
      <sz val="8"/>
      <color indexed="8"/>
      <name val="Helvetica-Narrow"/>
      <family val="2"/>
    </font>
    <font>
      <sz val="8"/>
      <color indexed="10"/>
      <name val="Helvetica-Narrow"/>
      <family val="2"/>
    </font>
    <font>
      <sz val="8"/>
      <color indexed="10"/>
      <name val="Courier"/>
      <family val="3"/>
    </font>
    <font>
      <b/>
      <sz val="8"/>
      <color indexed="8"/>
      <name val="Courier"/>
      <family val="3"/>
    </font>
    <font>
      <sz val="8"/>
      <name val="Helvetica-Narrow"/>
      <family val="2"/>
    </font>
    <font>
      <b/>
      <sz val="8"/>
      <color indexed="8"/>
      <name val="Helvetica-Narrow"/>
    </font>
    <font>
      <b/>
      <sz val="9"/>
      <name val="Arial"/>
      <family val="2"/>
    </font>
    <font>
      <sz val="9"/>
      <name val="Arial"/>
      <family val="2"/>
    </font>
    <font>
      <b/>
      <sz val="9"/>
      <color indexed="8"/>
      <name val="Arial"/>
      <family val="2"/>
    </font>
    <font>
      <sz val="9"/>
      <color indexed="20"/>
      <name val="Arial"/>
      <family val="2"/>
    </font>
    <font>
      <sz val="9"/>
      <color indexed="8"/>
      <name val="Arial"/>
      <family val="2"/>
    </font>
    <font>
      <sz val="8"/>
      <name val="Arial"/>
      <family val="2"/>
    </font>
    <font>
      <b/>
      <sz val="10"/>
      <name val="Times New Roman"/>
      <family val="1"/>
    </font>
    <font>
      <sz val="10"/>
      <name val="Times New Roman"/>
      <family val="1"/>
    </font>
    <font>
      <b/>
      <i/>
      <sz val="10"/>
      <name val="Times New Roman"/>
      <family val="1"/>
    </font>
    <font>
      <i/>
      <sz val="10"/>
      <name val="Times New Roman"/>
      <family val="1"/>
    </font>
    <font>
      <vertAlign val="superscript"/>
      <sz val="10"/>
      <name val="Times New Roman"/>
      <family val="1"/>
    </font>
    <font>
      <b/>
      <vertAlign val="subscript"/>
      <sz val="10"/>
      <name val="Times New Roman"/>
      <family val="1"/>
    </font>
    <font>
      <sz val="12"/>
      <name val="Courier"/>
      <family val="3"/>
    </font>
    <font>
      <b/>
      <sz val="10"/>
      <name val="Arial"/>
      <family val="2"/>
    </font>
    <font>
      <sz val="10"/>
      <name val="Arial"/>
      <family val="2"/>
    </font>
    <font>
      <sz val="8"/>
      <name val="Courier"/>
      <family val="3"/>
    </font>
    <font>
      <b/>
      <sz val="8"/>
      <name val="Arial"/>
      <family val="2"/>
    </font>
    <font>
      <sz val="8"/>
      <name val="Helvetica-Narrow"/>
    </font>
    <font>
      <b/>
      <sz val="8"/>
      <name val="Helvetica-Narrow"/>
      <family val="2"/>
    </font>
    <font>
      <b/>
      <sz val="8"/>
      <name val="Courier"/>
      <family val="3"/>
    </font>
    <font>
      <b/>
      <sz val="8"/>
      <color indexed="10"/>
      <name val="Arial"/>
      <family val="2"/>
    </font>
    <font>
      <sz val="8"/>
      <color indexed="10"/>
      <name val="Courier"/>
      <family val="3"/>
    </font>
    <font>
      <b/>
      <sz val="9"/>
      <color indexed="22"/>
      <name val="Helvetica"/>
      <family val="2"/>
    </font>
    <font>
      <sz val="8"/>
      <color indexed="22"/>
      <name val="Courier"/>
      <family val="3"/>
    </font>
    <font>
      <b/>
      <sz val="8"/>
      <color indexed="22"/>
      <name val="Arial"/>
      <family val="2"/>
    </font>
    <font>
      <sz val="8"/>
      <color indexed="10"/>
      <name val="Arial"/>
      <family val="2"/>
    </font>
    <font>
      <sz val="8"/>
      <name val="Arial"/>
      <family val="2"/>
    </font>
    <font>
      <sz val="8"/>
      <color indexed="10"/>
      <name val="Arial"/>
      <family val="2"/>
    </font>
    <font>
      <sz val="8"/>
      <color indexed="12"/>
      <name val="Arial"/>
      <family val="2"/>
    </font>
    <font>
      <sz val="8"/>
      <color indexed="8"/>
      <name val="Arial"/>
      <family val="2"/>
    </font>
    <font>
      <b/>
      <u/>
      <sz val="9"/>
      <name val="Arial"/>
      <family val="2"/>
    </font>
    <font>
      <sz val="10"/>
      <color indexed="8"/>
      <name val="Arial"/>
      <family val="2"/>
    </font>
    <font>
      <sz val="10"/>
      <color indexed="8"/>
      <name val="Arial"/>
      <family val="2"/>
    </font>
    <font>
      <sz val="8"/>
      <color indexed="8"/>
      <name val="Arial"/>
      <family val="2"/>
    </font>
    <font>
      <b/>
      <sz val="9"/>
      <color indexed="10"/>
      <name val="Arial"/>
      <family val="2"/>
    </font>
    <font>
      <b/>
      <sz val="7.75"/>
      <name val="Arial"/>
      <family val="2"/>
    </font>
    <font>
      <b/>
      <vertAlign val="subscript"/>
      <sz val="9"/>
      <name val="Arial"/>
      <family val="2"/>
    </font>
    <font>
      <b/>
      <sz val="9"/>
      <color indexed="9"/>
      <name val="Arial"/>
      <family val="2"/>
    </font>
    <font>
      <b/>
      <u/>
      <sz val="9"/>
      <color indexed="9"/>
      <name val="Arial"/>
      <family val="2"/>
    </font>
    <font>
      <i/>
      <sz val="12"/>
      <name val="Times New Roman"/>
      <family val="1"/>
    </font>
    <font>
      <b/>
      <sz val="10"/>
      <color indexed="8"/>
      <name val="Arial"/>
      <family val="2"/>
    </font>
    <font>
      <b/>
      <sz val="10"/>
      <color indexed="12"/>
      <name val="Arial"/>
      <family val="2"/>
    </font>
    <font>
      <b/>
      <sz val="10"/>
      <color indexed="10"/>
      <name val="Arial"/>
      <family val="2"/>
    </font>
    <font>
      <sz val="10"/>
      <color indexed="20"/>
      <name val="Arial"/>
      <family val="2"/>
    </font>
    <font>
      <sz val="10"/>
      <color indexed="12"/>
      <name val="Arial"/>
      <family val="2"/>
    </font>
    <font>
      <sz val="10"/>
      <color indexed="10"/>
      <name val="Arial"/>
      <family val="2"/>
    </font>
    <font>
      <sz val="9"/>
      <color indexed="17"/>
      <name val="Arial"/>
      <family val="2"/>
    </font>
    <font>
      <sz val="9"/>
      <color indexed="10"/>
      <name val="Arial"/>
      <family val="2"/>
    </font>
    <font>
      <sz val="9"/>
      <name val="Courier"/>
      <family val="3"/>
    </font>
    <font>
      <u/>
      <sz val="9"/>
      <color indexed="10"/>
      <name val="Arial"/>
      <family val="2"/>
    </font>
    <font>
      <b/>
      <u/>
      <sz val="9"/>
      <color indexed="10"/>
      <name val="Arial"/>
      <family val="2"/>
    </font>
    <font>
      <b/>
      <i/>
      <sz val="9"/>
      <color indexed="10"/>
      <name val="Arial"/>
      <family val="2"/>
    </font>
    <font>
      <b/>
      <sz val="10"/>
      <name val="Helvetica"/>
      <family val="2"/>
    </font>
    <font>
      <b/>
      <vertAlign val="subscript"/>
      <sz val="10"/>
      <name val="Helvetica"/>
      <family val="2"/>
    </font>
    <font>
      <u/>
      <sz val="9"/>
      <name val="Arial"/>
      <family val="2"/>
    </font>
    <font>
      <sz val="9"/>
      <color indexed="9"/>
      <name val="Courier"/>
      <family val="3"/>
    </font>
    <font>
      <vertAlign val="subscript"/>
      <sz val="9"/>
      <name val="Arial"/>
      <family val="2"/>
    </font>
    <font>
      <sz val="12"/>
      <name val="Courier"/>
      <family val="3"/>
    </font>
    <font>
      <i/>
      <sz val="9"/>
      <name val="Arial"/>
      <family val="2"/>
    </font>
    <font>
      <vertAlign val="subscript"/>
      <sz val="10"/>
      <name val="Times New Roman"/>
      <family val="1"/>
    </font>
    <font>
      <sz val="9"/>
      <name val="Times New Roman"/>
      <family val="1"/>
    </font>
    <font>
      <sz val="12"/>
      <name val="Courier"/>
      <family val="3"/>
    </font>
    <font>
      <b/>
      <i/>
      <sz val="9"/>
      <name val="Arial"/>
      <family val="2"/>
    </font>
    <font>
      <b/>
      <sz val="12"/>
      <name val="Courier"/>
      <family val="3"/>
    </font>
    <font>
      <sz val="9"/>
      <color indexed="22"/>
      <name val="Arial"/>
      <family val="2"/>
    </font>
    <font>
      <b/>
      <sz val="9"/>
      <color indexed="22"/>
      <name val="Arial"/>
      <family val="2"/>
    </font>
    <font>
      <sz val="12"/>
      <name val="Arial"/>
      <family val="2"/>
    </font>
    <font>
      <sz val="10"/>
      <color indexed="10"/>
      <name val="Arial"/>
      <family val="2"/>
    </font>
    <font>
      <b/>
      <u/>
      <sz val="10"/>
      <name val="Arial"/>
      <family val="2"/>
    </font>
    <font>
      <b/>
      <sz val="8"/>
      <color rgb="FFFF0000"/>
      <name val="Arial"/>
      <family val="2"/>
    </font>
    <font>
      <sz val="8"/>
      <color rgb="FF000000"/>
      <name val="Tahoma"/>
      <family val="2"/>
    </font>
  </fonts>
  <fills count="14">
    <fill>
      <patternFill patternType="none"/>
    </fill>
    <fill>
      <patternFill patternType="gray125"/>
    </fill>
    <fill>
      <patternFill patternType="solid">
        <fgColor indexed="22"/>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9"/>
        <bgColor indexed="9"/>
      </patternFill>
    </fill>
    <fill>
      <patternFill patternType="gray125">
        <fgColor indexed="9"/>
        <bgColor indexed="9"/>
      </patternFill>
    </fill>
    <fill>
      <patternFill patternType="solid">
        <fgColor indexed="43"/>
        <bgColor indexed="64"/>
      </patternFill>
    </fill>
    <fill>
      <patternFill patternType="solid">
        <fgColor indexed="45"/>
        <bgColor indexed="64"/>
      </patternFill>
    </fill>
    <fill>
      <patternFill patternType="solid">
        <fgColor indexed="47"/>
        <bgColor indexed="64"/>
      </patternFill>
    </fill>
    <fill>
      <patternFill patternType="solid">
        <fgColor indexed="17"/>
        <bgColor indexed="64"/>
      </patternFill>
    </fill>
    <fill>
      <patternFill patternType="solid">
        <fgColor indexed="51"/>
        <bgColor indexed="64"/>
      </patternFill>
    </fill>
    <fill>
      <patternFill patternType="solid">
        <fgColor indexed="10"/>
        <bgColor indexed="64"/>
      </patternFill>
    </fill>
  </fills>
  <borders count="83">
    <border>
      <left/>
      <right/>
      <top/>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style="thin">
        <color indexed="64"/>
      </top>
      <bottom/>
      <diagonal/>
    </border>
    <border>
      <left style="thin">
        <color indexed="64"/>
      </left>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thin">
        <color indexed="64"/>
      </top>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medium">
        <color indexed="64"/>
      </top>
      <bottom style="medium">
        <color indexed="64"/>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style="thick">
        <color indexed="64"/>
      </left>
      <right/>
      <top/>
      <bottom/>
      <diagonal/>
    </border>
    <border>
      <left style="medium">
        <color indexed="64"/>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right style="thin">
        <color indexed="64"/>
      </right>
      <top style="medium">
        <color indexed="64"/>
      </top>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s>
  <cellStyleXfs count="6">
    <xf numFmtId="164" fontId="0" fillId="0" borderId="0"/>
    <xf numFmtId="167" fontId="1" fillId="0" borderId="0">
      <protection locked="0"/>
    </xf>
    <xf numFmtId="165" fontId="1" fillId="0" borderId="0">
      <protection locked="0"/>
    </xf>
    <xf numFmtId="166" fontId="2" fillId="0" borderId="0">
      <protection locked="0"/>
    </xf>
    <xf numFmtId="166" fontId="2" fillId="0" borderId="0">
      <protection locked="0"/>
    </xf>
    <xf numFmtId="166" fontId="1" fillId="0" borderId="1">
      <protection locked="0"/>
    </xf>
  </cellStyleXfs>
  <cellXfs count="1089">
    <xf numFmtId="164" fontId="0" fillId="0" borderId="0" xfId="0"/>
    <xf numFmtId="164" fontId="0" fillId="0" borderId="2" xfId="0" applyBorder="1" applyAlignment="1">
      <alignment horizontal="center"/>
    </xf>
    <xf numFmtId="164" fontId="12" fillId="0" borderId="0" xfId="0" applyFont="1"/>
    <xf numFmtId="164" fontId="0" fillId="0" borderId="3" xfId="0" applyBorder="1"/>
    <xf numFmtId="164" fontId="11" fillId="2" borderId="0" xfId="0" applyFont="1" applyFill="1" applyProtection="1">
      <protection hidden="1"/>
    </xf>
    <xf numFmtId="2" fontId="12" fillId="2" borderId="0" xfId="0" applyNumberFormat="1" applyFont="1" applyFill="1" applyAlignment="1" applyProtection="1">
      <alignment horizontal="center"/>
      <protection hidden="1"/>
    </xf>
    <xf numFmtId="164" fontId="12" fillId="2" borderId="0" xfId="0" applyFont="1" applyFill="1" applyAlignment="1" applyProtection="1">
      <alignment horizontal="center"/>
      <protection hidden="1"/>
    </xf>
    <xf numFmtId="173" fontId="13" fillId="2" borderId="0" xfId="0" applyNumberFormat="1" applyFont="1" applyFill="1" applyAlignment="1" applyProtection="1">
      <alignment horizontal="center"/>
      <protection hidden="1"/>
    </xf>
    <xf numFmtId="173" fontId="11" fillId="2" borderId="0" xfId="0" applyNumberFormat="1" applyFont="1" applyFill="1" applyProtection="1">
      <protection hidden="1"/>
    </xf>
    <xf numFmtId="164" fontId="11" fillId="2" borderId="2" xfId="0" applyFont="1" applyFill="1" applyBorder="1" applyProtection="1">
      <protection hidden="1"/>
    </xf>
    <xf numFmtId="1" fontId="11" fillId="3" borderId="2" xfId="0" applyNumberFormat="1" applyFont="1" applyFill="1" applyBorder="1" applyProtection="1">
      <protection hidden="1"/>
    </xf>
    <xf numFmtId="164" fontId="11" fillId="0" borderId="2" xfId="0" applyFont="1" applyBorder="1" applyProtection="1">
      <protection hidden="1"/>
    </xf>
    <xf numFmtId="2" fontId="11" fillId="0" borderId="2" xfId="0" applyNumberFormat="1" applyFont="1" applyBorder="1" applyProtection="1">
      <protection hidden="1"/>
    </xf>
    <xf numFmtId="164" fontId="24" fillId="2" borderId="0" xfId="0" applyFont="1" applyFill="1" applyProtection="1">
      <protection hidden="1"/>
    </xf>
    <xf numFmtId="1" fontId="11" fillId="2" borderId="0" xfId="0" applyNumberFormat="1" applyFont="1" applyFill="1" applyProtection="1">
      <protection hidden="1"/>
    </xf>
    <xf numFmtId="2" fontId="11" fillId="3" borderId="2" xfId="0" applyNumberFormat="1" applyFont="1" applyFill="1" applyBorder="1" applyProtection="1">
      <protection hidden="1"/>
    </xf>
    <xf numFmtId="2" fontId="11" fillId="3" borderId="2" xfId="0" applyNumberFormat="1" applyFont="1" applyFill="1" applyBorder="1" applyAlignment="1" applyProtection="1">
      <alignment horizontal="center"/>
      <protection hidden="1"/>
    </xf>
    <xf numFmtId="164" fontId="11" fillId="4" borderId="4" xfId="0" applyFont="1" applyFill="1" applyBorder="1" applyAlignment="1" applyProtection="1">
      <alignment horizontal="center" vertical="center" wrapText="1"/>
      <protection hidden="1"/>
    </xf>
    <xf numFmtId="1" fontId="11" fillId="3" borderId="5" xfId="0" applyNumberFormat="1" applyFont="1" applyFill="1" applyBorder="1" applyProtection="1">
      <protection hidden="1"/>
    </xf>
    <xf numFmtId="2" fontId="11" fillId="3" borderId="6" xfId="0" applyNumberFormat="1" applyFont="1" applyFill="1" applyBorder="1" applyAlignment="1" applyProtection="1">
      <alignment horizontal="center"/>
      <protection hidden="1"/>
    </xf>
    <xf numFmtId="2" fontId="11" fillId="3" borderId="6" xfId="0" applyNumberFormat="1" applyFont="1" applyFill="1" applyBorder="1" applyProtection="1">
      <protection hidden="1"/>
    </xf>
    <xf numFmtId="164" fontId="26" fillId="4" borderId="7" xfId="0" applyFont="1" applyFill="1" applyBorder="1" applyAlignment="1" applyProtection="1">
      <alignment horizontal="left"/>
      <protection hidden="1"/>
    </xf>
    <xf numFmtId="164" fontId="26" fillId="4" borderId="0" xfId="0" applyFont="1" applyFill="1" applyAlignment="1" applyProtection="1">
      <alignment horizontal="left"/>
      <protection hidden="1"/>
    </xf>
    <xf numFmtId="164" fontId="26" fillId="4" borderId="8" xfId="0" applyFont="1" applyFill="1" applyBorder="1" applyAlignment="1" applyProtection="1">
      <alignment horizontal="left"/>
      <protection hidden="1"/>
    </xf>
    <xf numFmtId="164" fontId="11" fillId="4" borderId="9" xfId="0" applyFont="1" applyFill="1" applyBorder="1" applyAlignment="1" applyProtection="1">
      <alignment horizontal="center" vertical="center" wrapText="1"/>
      <protection hidden="1"/>
    </xf>
    <xf numFmtId="164" fontId="11" fillId="5" borderId="0" xfId="0" applyFont="1" applyFill="1" applyProtection="1">
      <protection hidden="1"/>
    </xf>
    <xf numFmtId="164" fontId="11" fillId="5" borderId="10" xfId="0" applyFont="1" applyFill="1" applyBorder="1" applyProtection="1">
      <protection hidden="1"/>
    </xf>
    <xf numFmtId="164" fontId="11" fillId="5" borderId="7" xfId="0" applyFont="1" applyFill="1" applyBorder="1" applyProtection="1">
      <protection hidden="1"/>
    </xf>
    <xf numFmtId="164" fontId="11" fillId="5" borderId="11" xfId="0" applyFont="1" applyFill="1" applyBorder="1" applyProtection="1">
      <protection hidden="1"/>
    </xf>
    <xf numFmtId="164" fontId="11" fillId="5" borderId="12" xfId="0" applyFont="1" applyFill="1" applyBorder="1" applyProtection="1">
      <protection hidden="1"/>
    </xf>
    <xf numFmtId="164" fontId="11" fillId="5" borderId="13" xfId="0" applyFont="1" applyFill="1" applyBorder="1" applyProtection="1">
      <protection hidden="1"/>
    </xf>
    <xf numFmtId="164" fontId="10" fillId="4" borderId="14" xfId="0" applyFont="1" applyFill="1" applyBorder="1" applyProtection="1">
      <protection hidden="1"/>
    </xf>
    <xf numFmtId="164" fontId="10" fillId="4" borderId="15" xfId="0" applyFont="1" applyFill="1" applyBorder="1" applyProtection="1">
      <protection hidden="1"/>
    </xf>
    <xf numFmtId="164" fontId="10" fillId="4" borderId="14" xfId="0" applyFont="1" applyFill="1" applyBorder="1" applyAlignment="1" applyProtection="1">
      <alignment horizontal="center"/>
      <protection hidden="1"/>
    </xf>
    <xf numFmtId="164" fontId="10" fillId="5" borderId="7" xfId="0" applyFont="1" applyFill="1" applyBorder="1" applyAlignment="1" applyProtection="1">
      <alignment horizontal="center"/>
      <protection hidden="1"/>
    </xf>
    <xf numFmtId="164" fontId="32" fillId="2" borderId="0" xfId="0" applyFont="1" applyFill="1" applyAlignment="1" applyProtection="1">
      <alignment horizontal="center" vertical="center"/>
      <protection hidden="1"/>
    </xf>
    <xf numFmtId="164" fontId="33" fillId="2" borderId="0" xfId="0" applyFont="1" applyFill="1" applyProtection="1">
      <protection hidden="1"/>
    </xf>
    <xf numFmtId="164" fontId="31" fillId="2" borderId="0" xfId="0" applyFont="1" applyFill="1" applyProtection="1">
      <protection hidden="1"/>
    </xf>
    <xf numFmtId="164" fontId="25" fillId="2" borderId="0" xfId="0" applyFont="1" applyFill="1" applyProtection="1">
      <protection hidden="1"/>
    </xf>
    <xf numFmtId="164" fontId="25" fillId="0" borderId="0" xfId="0" applyFont="1" applyProtection="1">
      <protection hidden="1"/>
    </xf>
    <xf numFmtId="164" fontId="34" fillId="2" borderId="0" xfId="0" applyFont="1" applyFill="1" applyAlignment="1" applyProtection="1">
      <alignment horizontal="left"/>
      <protection hidden="1"/>
    </xf>
    <xf numFmtId="164" fontId="26" fillId="4" borderId="2" xfId="0" applyFont="1" applyFill="1" applyBorder="1" applyAlignment="1" applyProtection="1">
      <alignment horizontal="right"/>
      <protection hidden="1"/>
    </xf>
    <xf numFmtId="1" fontId="15" fillId="3" borderId="16" xfId="0" applyNumberFormat="1" applyFont="1" applyFill="1" applyBorder="1" applyAlignment="1" applyProtection="1">
      <alignment horizontal="center"/>
      <protection hidden="1"/>
    </xf>
    <xf numFmtId="164" fontId="26" fillId="4" borderId="17" xfId="0" applyFont="1" applyFill="1" applyBorder="1" applyAlignment="1" applyProtection="1">
      <alignment horizontal="right"/>
      <protection hidden="1"/>
    </xf>
    <xf numFmtId="2" fontId="15" fillId="3" borderId="18" xfId="0" applyNumberFormat="1" applyFont="1" applyFill="1" applyBorder="1" applyAlignment="1" applyProtection="1">
      <alignment horizontal="center"/>
      <protection hidden="1"/>
    </xf>
    <xf numFmtId="164" fontId="35" fillId="2" borderId="0" xfId="0" applyFont="1" applyFill="1" applyAlignment="1" applyProtection="1">
      <alignment horizontal="center"/>
      <protection hidden="1"/>
    </xf>
    <xf numFmtId="164" fontId="26" fillId="4" borderId="7" xfId="0" applyFont="1" applyFill="1" applyBorder="1" applyProtection="1">
      <protection hidden="1"/>
    </xf>
    <xf numFmtId="164" fontId="26" fillId="4" borderId="19" xfId="0" applyFont="1" applyFill="1" applyBorder="1" applyAlignment="1" applyProtection="1">
      <alignment horizontal="center"/>
      <protection hidden="1"/>
    </xf>
    <xf numFmtId="164" fontId="26" fillId="4" borderId="20" xfId="0" applyFont="1" applyFill="1" applyBorder="1" applyAlignment="1" applyProtection="1">
      <alignment horizontal="center"/>
      <protection hidden="1"/>
    </xf>
    <xf numFmtId="164" fontId="26" fillId="4" borderId="10" xfId="0" applyFont="1" applyFill="1" applyBorder="1" applyAlignment="1" applyProtection="1">
      <alignment horizontal="center"/>
      <protection hidden="1"/>
    </xf>
    <xf numFmtId="164" fontId="26" fillId="4" borderId="21" xfId="0" applyFont="1" applyFill="1" applyBorder="1" applyAlignment="1" applyProtection="1">
      <alignment horizontal="center"/>
      <protection hidden="1"/>
    </xf>
    <xf numFmtId="164" fontId="30" fillId="2" borderId="0" xfId="0" applyFont="1" applyFill="1" applyAlignment="1" applyProtection="1">
      <alignment horizontal="center"/>
      <protection hidden="1"/>
    </xf>
    <xf numFmtId="1" fontId="8" fillId="2" borderId="0" xfId="0" applyNumberFormat="1" applyFont="1" applyFill="1" applyAlignment="1" applyProtection="1">
      <alignment horizontal="center"/>
      <protection hidden="1"/>
    </xf>
    <xf numFmtId="164" fontId="26" fillId="4" borderId="8" xfId="0" applyFont="1" applyFill="1" applyBorder="1" applyProtection="1">
      <protection hidden="1"/>
    </xf>
    <xf numFmtId="164" fontId="26" fillId="4" borderId="22" xfId="0" applyFont="1" applyFill="1" applyBorder="1" applyAlignment="1" applyProtection="1">
      <alignment horizontal="center"/>
      <protection hidden="1"/>
    </xf>
    <xf numFmtId="164" fontId="26" fillId="4" borderId="23" xfId="0" applyFont="1" applyFill="1" applyBorder="1" applyAlignment="1" applyProtection="1">
      <alignment horizontal="center"/>
      <protection hidden="1"/>
    </xf>
    <xf numFmtId="164" fontId="26" fillId="4" borderId="24" xfId="0" applyFont="1" applyFill="1" applyBorder="1" applyAlignment="1" applyProtection="1">
      <alignment horizontal="center"/>
      <protection hidden="1"/>
    </xf>
    <xf numFmtId="164" fontId="26" fillId="4" borderId="25" xfId="0" applyFont="1" applyFill="1" applyBorder="1" applyAlignment="1" applyProtection="1">
      <alignment horizontal="center"/>
      <protection hidden="1"/>
    </xf>
    <xf numFmtId="2" fontId="15" fillId="3" borderId="4" xfId="0" applyNumberFormat="1" applyFont="1" applyFill="1" applyBorder="1" applyAlignment="1" applyProtection="1">
      <alignment horizontal="center"/>
      <protection hidden="1"/>
    </xf>
    <xf numFmtId="1" fontId="15" fillId="3" borderId="26" xfId="0" applyNumberFormat="1" applyFont="1" applyFill="1" applyBorder="1" applyAlignment="1" applyProtection="1">
      <alignment horizontal="center"/>
      <protection hidden="1"/>
    </xf>
    <xf numFmtId="1" fontId="15" fillId="3" borderId="9" xfId="0" applyNumberFormat="1" applyFont="1" applyFill="1" applyBorder="1" applyAlignment="1" applyProtection="1">
      <alignment horizontal="center"/>
      <protection hidden="1"/>
    </xf>
    <xf numFmtId="1" fontId="35" fillId="2" borderId="0" xfId="0" applyNumberFormat="1" applyFont="1" applyFill="1" applyAlignment="1" applyProtection="1">
      <alignment horizontal="center"/>
      <protection hidden="1"/>
    </xf>
    <xf numFmtId="2" fontId="15" fillId="3" borderId="2" xfId="0" applyNumberFormat="1" applyFont="1" applyFill="1" applyBorder="1" applyAlignment="1" applyProtection="1">
      <alignment horizontal="center"/>
      <protection hidden="1"/>
    </xf>
    <xf numFmtId="1" fontId="15" fillId="3" borderId="27" xfId="0" applyNumberFormat="1" applyFont="1" applyFill="1" applyBorder="1" applyAlignment="1" applyProtection="1">
      <alignment horizontal="center"/>
      <protection hidden="1"/>
    </xf>
    <xf numFmtId="1" fontId="15" fillId="3" borderId="5" xfId="0" applyNumberFormat="1" applyFont="1" applyFill="1" applyBorder="1" applyAlignment="1" applyProtection="1">
      <alignment horizontal="center"/>
      <protection hidden="1"/>
    </xf>
    <xf numFmtId="164" fontId="4" fillId="2" borderId="0" xfId="0" applyFont="1" applyFill="1" applyAlignment="1" applyProtection="1">
      <alignment horizontal="center"/>
      <protection hidden="1"/>
    </xf>
    <xf numFmtId="164" fontId="3" fillId="2" borderId="0" xfId="0" applyFont="1" applyFill="1" applyAlignment="1" applyProtection="1">
      <alignment horizontal="center"/>
      <protection hidden="1"/>
    </xf>
    <xf numFmtId="2" fontId="15" fillId="3" borderId="6" xfId="0" applyNumberFormat="1" applyFont="1" applyFill="1" applyBorder="1" applyAlignment="1" applyProtection="1">
      <alignment horizontal="center"/>
      <protection hidden="1"/>
    </xf>
    <xf numFmtId="1" fontId="15" fillId="3" borderId="28" xfId="0" applyNumberFormat="1" applyFont="1" applyFill="1" applyBorder="1" applyAlignment="1" applyProtection="1">
      <alignment horizontal="center"/>
      <protection hidden="1"/>
    </xf>
    <xf numFmtId="1" fontId="15" fillId="3" borderId="29" xfId="0" applyNumberFormat="1" applyFont="1" applyFill="1" applyBorder="1" applyAlignment="1" applyProtection="1">
      <alignment horizontal="center"/>
      <protection hidden="1"/>
    </xf>
    <xf numFmtId="164" fontId="9" fillId="2" borderId="0" xfId="0" applyFont="1" applyFill="1" applyAlignment="1" applyProtection="1">
      <alignment horizontal="center"/>
      <protection hidden="1"/>
    </xf>
    <xf numFmtId="1" fontId="15" fillId="3" borderId="4" xfId="0" applyNumberFormat="1" applyFont="1" applyFill="1" applyBorder="1" applyAlignment="1" applyProtection="1">
      <alignment horizontal="center"/>
      <protection hidden="1"/>
    </xf>
    <xf numFmtId="164" fontId="28" fillId="4" borderId="3" xfId="0" applyFont="1" applyFill="1" applyBorder="1" applyAlignment="1" applyProtection="1">
      <alignment horizontal="left"/>
      <protection hidden="1"/>
    </xf>
    <xf numFmtId="1" fontId="15" fillId="3" borderId="30" xfId="0" applyNumberFormat="1" applyFont="1" applyFill="1" applyBorder="1" applyAlignment="1" applyProtection="1">
      <alignment horizontal="center"/>
      <protection hidden="1"/>
    </xf>
    <xf numFmtId="1" fontId="15" fillId="3" borderId="23" xfId="0" applyNumberFormat="1" applyFont="1" applyFill="1" applyBorder="1" applyAlignment="1" applyProtection="1">
      <alignment horizontal="center"/>
      <protection hidden="1"/>
    </xf>
    <xf numFmtId="1" fontId="15" fillId="3" borderId="31" xfId="0" applyNumberFormat="1" applyFont="1" applyFill="1" applyBorder="1" applyAlignment="1" applyProtection="1">
      <alignment horizontal="center"/>
      <protection hidden="1"/>
    </xf>
    <xf numFmtId="164" fontId="26" fillId="4" borderId="30" xfId="0" applyFont="1" applyFill="1" applyBorder="1" applyAlignment="1" applyProtection="1">
      <alignment horizontal="center"/>
      <protection hidden="1"/>
    </xf>
    <xf numFmtId="2" fontId="15" fillId="3" borderId="3" xfId="0" applyNumberFormat="1" applyFont="1" applyFill="1" applyBorder="1" applyAlignment="1" applyProtection="1">
      <alignment horizontal="center"/>
      <protection hidden="1"/>
    </xf>
    <xf numFmtId="1" fontId="15" fillId="3" borderId="12" xfId="0" applyNumberFormat="1" applyFont="1" applyFill="1" applyBorder="1" applyAlignment="1" applyProtection="1">
      <alignment horizontal="center"/>
      <protection hidden="1"/>
    </xf>
    <xf numFmtId="1" fontId="15" fillId="3" borderId="32" xfId="0" applyNumberFormat="1" applyFont="1" applyFill="1" applyBorder="1" applyAlignment="1" applyProtection="1">
      <alignment horizontal="center"/>
      <protection hidden="1"/>
    </xf>
    <xf numFmtId="174" fontId="5" fillId="2" borderId="2" xfId="0" applyNumberFormat="1" applyFont="1" applyFill="1" applyBorder="1" applyAlignment="1" applyProtection="1">
      <alignment horizontal="center"/>
      <protection hidden="1"/>
    </xf>
    <xf numFmtId="173" fontId="5" fillId="2" borderId="2" xfId="0" applyNumberFormat="1" applyFont="1" applyFill="1" applyBorder="1" applyAlignment="1" applyProtection="1">
      <alignment horizontal="center"/>
      <protection hidden="1"/>
    </xf>
    <xf numFmtId="164" fontId="26" fillId="4" borderId="2" xfId="0" applyFont="1" applyFill="1" applyBorder="1" applyAlignment="1" applyProtection="1">
      <alignment horizontal="center"/>
      <protection hidden="1"/>
    </xf>
    <xf numFmtId="1" fontId="15" fillId="3" borderId="33" xfId="0" applyNumberFormat="1" applyFont="1" applyFill="1" applyBorder="1" applyAlignment="1" applyProtection="1">
      <alignment horizontal="center"/>
      <protection hidden="1"/>
    </xf>
    <xf numFmtId="164" fontId="26" fillId="4" borderId="6" xfId="0" applyFont="1" applyFill="1" applyBorder="1" applyAlignment="1" applyProtection="1">
      <alignment horizontal="center"/>
      <protection hidden="1"/>
    </xf>
    <xf numFmtId="2" fontId="15" fillId="3" borderId="34" xfId="0" applyNumberFormat="1" applyFont="1" applyFill="1" applyBorder="1" applyAlignment="1" applyProtection="1">
      <alignment horizontal="center"/>
      <protection hidden="1"/>
    </xf>
    <xf numFmtId="1" fontId="15" fillId="3" borderId="35" xfId="0" applyNumberFormat="1" applyFont="1" applyFill="1" applyBorder="1" applyAlignment="1" applyProtection="1">
      <alignment horizontal="center"/>
      <protection hidden="1"/>
    </xf>
    <xf numFmtId="168" fontId="26" fillId="4" borderId="19" xfId="0" applyNumberFormat="1" applyFont="1" applyFill="1" applyBorder="1" applyAlignment="1" applyProtection="1">
      <alignment horizontal="center"/>
      <protection hidden="1"/>
    </xf>
    <xf numFmtId="2" fontId="15" fillId="3" borderId="19" xfId="0" applyNumberFormat="1" applyFont="1" applyFill="1" applyBorder="1" applyAlignment="1" applyProtection="1">
      <alignment horizontal="center"/>
      <protection hidden="1"/>
    </xf>
    <xf numFmtId="1" fontId="15" fillId="3" borderId="10" xfId="0" applyNumberFormat="1" applyFont="1" applyFill="1" applyBorder="1" applyAlignment="1" applyProtection="1">
      <alignment horizontal="center"/>
      <protection hidden="1"/>
    </xf>
    <xf numFmtId="1" fontId="15" fillId="3" borderId="21" xfId="0" applyNumberFormat="1" applyFont="1" applyFill="1" applyBorder="1" applyAlignment="1" applyProtection="1">
      <alignment horizontal="center"/>
      <protection hidden="1"/>
    </xf>
    <xf numFmtId="168" fontId="26" fillId="4" borderId="18" xfId="0" applyNumberFormat="1" applyFont="1" applyFill="1" applyBorder="1" applyAlignment="1" applyProtection="1">
      <alignment horizontal="center"/>
      <protection hidden="1"/>
    </xf>
    <xf numFmtId="168" fontId="26" fillId="4" borderId="16" xfId="0" applyNumberFormat="1" applyFont="1" applyFill="1" applyBorder="1" applyAlignment="1" applyProtection="1">
      <alignment horizontal="center"/>
      <protection hidden="1"/>
    </xf>
    <xf numFmtId="2" fontId="15" fillId="3" borderId="16" xfId="0" applyNumberFormat="1" applyFont="1" applyFill="1" applyBorder="1" applyAlignment="1" applyProtection="1">
      <alignment horizontal="center"/>
      <protection hidden="1"/>
    </xf>
    <xf numFmtId="1" fontId="15" fillId="3" borderId="36" xfId="0" applyNumberFormat="1" applyFont="1" applyFill="1" applyBorder="1" applyAlignment="1" applyProtection="1">
      <alignment horizontal="center"/>
      <protection hidden="1"/>
    </xf>
    <xf numFmtId="168" fontId="26" fillId="4" borderId="3" xfId="0" applyNumberFormat="1" applyFont="1" applyFill="1" applyBorder="1" applyAlignment="1" applyProtection="1">
      <alignment horizontal="center"/>
      <protection hidden="1"/>
    </xf>
    <xf numFmtId="168" fontId="26" fillId="4" borderId="34" xfId="0" applyNumberFormat="1" applyFont="1" applyFill="1" applyBorder="1" applyAlignment="1" applyProtection="1">
      <alignment horizontal="center"/>
      <protection hidden="1"/>
    </xf>
    <xf numFmtId="164" fontId="26" fillId="4" borderId="18" xfId="0" applyFont="1" applyFill="1" applyBorder="1" applyAlignment="1" applyProtection="1">
      <alignment horizontal="center"/>
      <protection hidden="1"/>
    </xf>
    <xf numFmtId="2" fontId="15" fillId="3" borderId="17" xfId="0" applyNumberFormat="1" applyFont="1" applyFill="1" applyBorder="1" applyAlignment="1" applyProtection="1">
      <alignment horizontal="center"/>
      <protection hidden="1"/>
    </xf>
    <xf numFmtId="164" fontId="26" fillId="4" borderId="16" xfId="0" applyFont="1" applyFill="1" applyBorder="1" applyAlignment="1" applyProtection="1">
      <alignment horizontal="center"/>
      <protection hidden="1"/>
    </xf>
    <xf numFmtId="164" fontId="26" fillId="4" borderId="34" xfId="0" applyFont="1" applyFill="1" applyBorder="1" applyAlignment="1" applyProtection="1">
      <alignment horizontal="center"/>
      <protection hidden="1"/>
    </xf>
    <xf numFmtId="164" fontId="26" fillId="4" borderId="4" xfId="0" applyFont="1" applyFill="1" applyBorder="1" applyAlignment="1" applyProtection="1">
      <alignment horizontal="center"/>
      <protection hidden="1"/>
    </xf>
    <xf numFmtId="1" fontId="15" fillId="3" borderId="37" xfId="0" applyNumberFormat="1" applyFont="1" applyFill="1" applyBorder="1" applyAlignment="1" applyProtection="1">
      <alignment horizontal="center"/>
      <protection hidden="1"/>
    </xf>
    <xf numFmtId="1" fontId="15" fillId="3" borderId="38" xfId="0" applyNumberFormat="1" applyFont="1" applyFill="1" applyBorder="1" applyAlignment="1" applyProtection="1">
      <alignment horizontal="center"/>
      <protection hidden="1"/>
    </xf>
    <xf numFmtId="1" fontId="15" fillId="3" borderId="9" xfId="0" applyNumberFormat="1" applyFont="1" applyFill="1" applyBorder="1" applyAlignment="1" applyProtection="1">
      <alignment horizontal="center" vertical="center"/>
      <protection hidden="1"/>
    </xf>
    <xf numFmtId="1" fontId="15" fillId="3" borderId="39" xfId="0" applyNumberFormat="1" applyFont="1" applyFill="1" applyBorder="1" applyAlignment="1" applyProtection="1">
      <alignment horizontal="center"/>
      <protection hidden="1"/>
    </xf>
    <xf numFmtId="1" fontId="15" fillId="3" borderId="40" xfId="0" applyNumberFormat="1" applyFont="1" applyFill="1" applyBorder="1" applyAlignment="1" applyProtection="1">
      <alignment horizontal="center"/>
      <protection hidden="1"/>
    </xf>
    <xf numFmtId="1" fontId="15" fillId="3" borderId="41" xfId="0" applyNumberFormat="1" applyFont="1" applyFill="1" applyBorder="1" applyAlignment="1" applyProtection="1">
      <alignment horizontal="center" vertical="center"/>
      <protection hidden="1"/>
    </xf>
    <xf numFmtId="1" fontId="15" fillId="3" borderId="40" xfId="0" applyNumberFormat="1" applyFont="1" applyFill="1" applyBorder="1" applyAlignment="1" applyProtection="1">
      <alignment horizontal="center" vertical="center"/>
      <protection hidden="1"/>
    </xf>
    <xf numFmtId="164" fontId="25" fillId="2" borderId="42" xfId="0" applyFont="1" applyFill="1" applyBorder="1" applyProtection="1">
      <protection hidden="1"/>
    </xf>
    <xf numFmtId="1" fontId="15" fillId="3" borderId="5" xfId="0" applyNumberFormat="1" applyFont="1" applyFill="1" applyBorder="1" applyAlignment="1" applyProtection="1">
      <alignment horizontal="center" vertical="center"/>
      <protection hidden="1"/>
    </xf>
    <xf numFmtId="164" fontId="15" fillId="4" borderId="2" xfId="0" applyFont="1" applyFill="1" applyBorder="1" applyAlignment="1" applyProtection="1">
      <alignment horizontal="center"/>
      <protection hidden="1"/>
    </xf>
    <xf numFmtId="1" fontId="15" fillId="3" borderId="31" xfId="0" applyNumberFormat="1" applyFont="1" applyFill="1" applyBorder="1" applyAlignment="1" applyProtection="1">
      <alignment horizontal="center" vertical="center"/>
      <protection hidden="1"/>
    </xf>
    <xf numFmtId="164" fontId="25" fillId="0" borderId="0" xfId="0" applyFont="1" applyAlignment="1" applyProtection="1">
      <alignment horizontal="left"/>
      <protection hidden="1"/>
    </xf>
    <xf numFmtId="164" fontId="25" fillId="0" borderId="0" xfId="0" applyFont="1" applyAlignment="1" applyProtection="1">
      <alignment horizontal="center"/>
      <protection hidden="1"/>
    </xf>
    <xf numFmtId="170" fontId="25" fillId="0" borderId="0" xfId="0" applyNumberFormat="1" applyFont="1" applyAlignment="1" applyProtection="1">
      <alignment horizontal="center"/>
      <protection hidden="1"/>
    </xf>
    <xf numFmtId="164" fontId="25" fillId="6" borderId="0" xfId="0" applyFont="1" applyFill="1" applyProtection="1">
      <protection hidden="1"/>
    </xf>
    <xf numFmtId="164" fontId="25" fillId="6" borderId="0" xfId="0" applyFont="1" applyFill="1" applyAlignment="1" applyProtection="1">
      <alignment horizontal="center"/>
      <protection hidden="1"/>
    </xf>
    <xf numFmtId="164" fontId="25" fillId="6" borderId="0" xfId="0" applyFont="1" applyFill="1" applyAlignment="1" applyProtection="1">
      <alignment horizontal="right"/>
      <protection hidden="1"/>
    </xf>
    <xf numFmtId="164" fontId="25" fillId="6" borderId="0" xfId="0" applyFont="1" applyFill="1" applyAlignment="1" applyProtection="1">
      <alignment horizontal="left"/>
      <protection hidden="1"/>
    </xf>
    <xf numFmtId="168" fontId="25" fillId="6" borderId="0" xfId="0" applyNumberFormat="1" applyFont="1" applyFill="1" applyAlignment="1" applyProtection="1">
      <alignment horizontal="center"/>
      <protection hidden="1"/>
    </xf>
    <xf numFmtId="171" fontId="25" fillId="6" borderId="0" xfId="0" applyNumberFormat="1" applyFont="1" applyFill="1" applyAlignment="1" applyProtection="1">
      <alignment horizontal="center"/>
      <protection hidden="1"/>
    </xf>
    <xf numFmtId="169" fontId="25" fillId="6" borderId="0" xfId="0" applyNumberFormat="1" applyFont="1" applyFill="1" applyAlignment="1" applyProtection="1">
      <alignment horizontal="center"/>
      <protection hidden="1"/>
    </xf>
    <xf numFmtId="168" fontId="25" fillId="6" borderId="0" xfId="0" applyNumberFormat="1" applyFont="1" applyFill="1" applyAlignment="1" applyProtection="1">
      <alignment horizontal="left"/>
      <protection hidden="1"/>
    </xf>
    <xf numFmtId="169" fontId="25" fillId="6" borderId="0" xfId="0" applyNumberFormat="1" applyFont="1" applyFill="1" applyProtection="1">
      <protection hidden="1"/>
    </xf>
    <xf numFmtId="164" fontId="25" fillId="7" borderId="0" xfId="0" applyFont="1" applyFill="1" applyAlignment="1" applyProtection="1">
      <alignment horizontal="center"/>
      <protection hidden="1"/>
    </xf>
    <xf numFmtId="170" fontId="25" fillId="6" borderId="0" xfId="0" applyNumberFormat="1" applyFont="1" applyFill="1" applyAlignment="1" applyProtection="1">
      <alignment horizontal="center"/>
      <protection hidden="1"/>
    </xf>
    <xf numFmtId="164" fontId="25" fillId="7" borderId="0" xfId="0" applyFont="1" applyFill="1" applyProtection="1">
      <protection hidden="1"/>
    </xf>
    <xf numFmtId="169" fontId="25" fillId="6" borderId="0" xfId="0" applyNumberFormat="1" applyFont="1" applyFill="1" applyAlignment="1" applyProtection="1">
      <alignment horizontal="left"/>
      <protection hidden="1"/>
    </xf>
    <xf numFmtId="164" fontId="22" fillId="0" borderId="0" xfId="0" applyFont="1" applyProtection="1">
      <protection hidden="1"/>
    </xf>
    <xf numFmtId="164" fontId="15" fillId="4" borderId="9" xfId="0" applyFont="1" applyFill="1" applyBorder="1" applyAlignment="1" applyProtection="1">
      <alignment horizontal="center"/>
      <protection hidden="1"/>
    </xf>
    <xf numFmtId="164" fontId="26" fillId="4" borderId="3" xfId="0" applyFont="1" applyFill="1" applyBorder="1" applyAlignment="1" applyProtection="1">
      <alignment horizontal="left" vertical="center"/>
      <protection hidden="1"/>
    </xf>
    <xf numFmtId="164" fontId="26" fillId="4" borderId="0" xfId="0" applyFont="1" applyFill="1" applyAlignment="1" applyProtection="1">
      <alignment horizontal="left" vertical="center"/>
      <protection hidden="1"/>
    </xf>
    <xf numFmtId="164" fontId="26" fillId="4" borderId="43" xfId="0" applyFont="1" applyFill="1" applyBorder="1" applyAlignment="1" applyProtection="1">
      <alignment horizontal="left" vertical="center"/>
      <protection hidden="1"/>
    </xf>
    <xf numFmtId="1" fontId="15" fillId="2" borderId="0" xfId="0" applyNumberFormat="1" applyFont="1" applyFill="1" applyAlignment="1" applyProtection="1">
      <alignment horizontal="center"/>
      <protection hidden="1"/>
    </xf>
    <xf numFmtId="1" fontId="15" fillId="2" borderId="0" xfId="0" applyNumberFormat="1" applyFont="1" applyFill="1" applyAlignment="1" applyProtection="1">
      <alignment horizontal="center" vertical="center"/>
      <protection hidden="1"/>
    </xf>
    <xf numFmtId="164" fontId="26" fillId="4" borderId="44" xfId="0" applyFont="1" applyFill="1" applyBorder="1" applyAlignment="1" applyProtection="1">
      <alignment horizontal="center"/>
      <protection hidden="1"/>
    </xf>
    <xf numFmtId="164" fontId="26" fillId="4" borderId="45" xfId="0" applyFont="1" applyFill="1" applyBorder="1" applyAlignment="1" applyProtection="1">
      <alignment horizontal="center"/>
      <protection hidden="1"/>
    </xf>
    <xf numFmtId="2" fontId="5" fillId="2" borderId="0" xfId="0" applyNumberFormat="1" applyFont="1" applyFill="1" applyAlignment="1" applyProtection="1">
      <alignment horizontal="center"/>
      <protection hidden="1"/>
    </xf>
    <xf numFmtId="2" fontId="35" fillId="2" borderId="0" xfId="0" applyNumberFormat="1" applyFont="1" applyFill="1" applyAlignment="1" applyProtection="1">
      <alignment horizontal="center"/>
      <protection hidden="1"/>
    </xf>
    <xf numFmtId="1" fontId="15" fillId="3" borderId="44" xfId="0" applyNumberFormat="1" applyFont="1" applyFill="1" applyBorder="1" applyAlignment="1" applyProtection="1">
      <alignment horizontal="center"/>
      <protection hidden="1"/>
    </xf>
    <xf numFmtId="1" fontId="15" fillId="0" borderId="0" xfId="0" applyNumberFormat="1" applyFont="1" applyAlignment="1" applyProtection="1">
      <alignment horizontal="center"/>
      <protection hidden="1"/>
    </xf>
    <xf numFmtId="164" fontId="0" fillId="0" borderId="46" xfId="0" applyBorder="1"/>
    <xf numFmtId="164" fontId="36" fillId="0" borderId="2" xfId="0" applyFont="1" applyBorder="1" applyAlignment="1">
      <alignment horizontal="center"/>
    </xf>
    <xf numFmtId="164" fontId="36" fillId="0" borderId="17" xfId="0" applyFont="1" applyBorder="1" applyAlignment="1">
      <alignment horizontal="center"/>
    </xf>
    <xf numFmtId="164" fontId="37" fillId="8" borderId="2" xfId="0" applyFont="1" applyFill="1" applyBorder="1" applyAlignment="1">
      <alignment horizontal="center"/>
    </xf>
    <xf numFmtId="164" fontId="36" fillId="0" borderId="47" xfId="0" applyFont="1" applyBorder="1" applyAlignment="1">
      <alignment horizontal="center"/>
    </xf>
    <xf numFmtId="1" fontId="38" fillId="8" borderId="2" xfId="0" applyNumberFormat="1" applyFont="1" applyFill="1" applyBorder="1" applyAlignment="1">
      <alignment horizontal="center"/>
    </xf>
    <xf numFmtId="164" fontId="0" fillId="0" borderId="43" xfId="0" applyBorder="1"/>
    <xf numFmtId="164" fontId="36" fillId="0" borderId="3" xfId="0" applyFont="1" applyBorder="1" applyAlignment="1">
      <alignment horizontal="right"/>
    </xf>
    <xf numFmtId="174" fontId="37" fillId="8" borderId="2" xfId="0" applyNumberFormat="1" applyFont="1" applyFill="1" applyBorder="1" applyAlignment="1">
      <alignment horizontal="center"/>
    </xf>
    <xf numFmtId="164" fontId="36" fillId="0" borderId="3" xfId="0" applyFont="1" applyBorder="1"/>
    <xf numFmtId="164" fontId="36" fillId="0" borderId="0" xfId="0" applyFont="1"/>
    <xf numFmtId="164" fontId="36" fillId="0" borderId="0" xfId="0" applyFont="1" applyAlignment="1">
      <alignment horizontal="right"/>
    </xf>
    <xf numFmtId="2" fontId="37" fillId="8" borderId="2" xfId="0" applyNumberFormat="1" applyFont="1" applyFill="1" applyBorder="1" applyAlignment="1">
      <alignment horizontal="center"/>
    </xf>
    <xf numFmtId="1" fontId="39" fillId="8" borderId="2" xfId="0" applyNumberFormat="1" applyFont="1" applyFill="1" applyBorder="1" applyAlignment="1">
      <alignment horizontal="center"/>
    </xf>
    <xf numFmtId="1" fontId="37" fillId="8" borderId="2" xfId="0" applyNumberFormat="1" applyFont="1" applyFill="1" applyBorder="1" applyAlignment="1">
      <alignment horizontal="center"/>
    </xf>
    <xf numFmtId="164" fontId="11" fillId="0" borderId="0" xfId="0" applyFont="1" applyProtection="1">
      <protection hidden="1"/>
    </xf>
    <xf numFmtId="164" fontId="11" fillId="8" borderId="0" xfId="0" applyFont="1" applyFill="1" applyProtection="1">
      <protection hidden="1"/>
    </xf>
    <xf numFmtId="164" fontId="11" fillId="3" borderId="0" xfId="0" applyFont="1" applyFill="1" applyProtection="1">
      <protection hidden="1"/>
    </xf>
    <xf numFmtId="164" fontId="40" fillId="4" borderId="0" xfId="0" applyFont="1" applyFill="1" applyProtection="1">
      <protection hidden="1"/>
    </xf>
    <xf numFmtId="1" fontId="15" fillId="3" borderId="44" xfId="0" applyNumberFormat="1" applyFont="1" applyFill="1" applyBorder="1" applyAlignment="1" applyProtection="1">
      <alignment horizontal="center" vertical="center"/>
      <protection hidden="1"/>
    </xf>
    <xf numFmtId="1" fontId="15" fillId="3" borderId="45" xfId="0" applyNumberFormat="1" applyFont="1" applyFill="1" applyBorder="1" applyAlignment="1" applyProtection="1">
      <alignment horizontal="center" vertical="center"/>
      <protection hidden="1"/>
    </xf>
    <xf numFmtId="164" fontId="28" fillId="4" borderId="22" xfId="0" applyFont="1" applyFill="1" applyBorder="1" applyAlignment="1" applyProtection="1">
      <alignment horizontal="left"/>
      <protection hidden="1"/>
    </xf>
    <xf numFmtId="164" fontId="28" fillId="4" borderId="19" xfId="0" applyFont="1" applyFill="1" applyBorder="1" applyAlignment="1" applyProtection="1">
      <alignment horizontal="left"/>
      <protection hidden="1"/>
    </xf>
    <xf numFmtId="2" fontId="7" fillId="2" borderId="0" xfId="0" applyNumberFormat="1" applyFont="1" applyFill="1" applyAlignment="1" applyProtection="1">
      <alignment horizontal="center"/>
      <protection hidden="1"/>
    </xf>
    <xf numFmtId="1" fontId="6" fillId="2" borderId="0" xfId="0" applyNumberFormat="1" applyFont="1" applyFill="1" applyAlignment="1" applyProtection="1">
      <alignment horizontal="center"/>
      <protection hidden="1"/>
    </xf>
    <xf numFmtId="174" fontId="15" fillId="4" borderId="48" xfId="0" applyNumberFormat="1" applyFont="1" applyFill="1" applyBorder="1" applyAlignment="1" applyProtection="1">
      <alignment horizontal="center"/>
      <protection hidden="1"/>
    </xf>
    <xf numFmtId="172" fontId="15" fillId="4" borderId="6" xfId="0" applyNumberFormat="1" applyFont="1" applyFill="1" applyBorder="1" applyAlignment="1" applyProtection="1">
      <alignment horizontal="center"/>
      <protection hidden="1"/>
    </xf>
    <xf numFmtId="174" fontId="15" fillId="2" borderId="47" xfId="0" applyNumberFormat="1" applyFont="1" applyFill="1" applyBorder="1" applyAlignment="1" applyProtection="1">
      <alignment horizontal="center"/>
      <protection hidden="1"/>
    </xf>
    <xf numFmtId="164" fontId="36" fillId="0" borderId="30" xfId="0" applyFont="1" applyBorder="1" applyAlignment="1">
      <alignment horizontal="center"/>
    </xf>
    <xf numFmtId="164" fontId="36" fillId="0" borderId="49" xfId="0" applyFont="1" applyBorder="1" applyAlignment="1">
      <alignment horizontal="center"/>
    </xf>
    <xf numFmtId="164" fontId="36" fillId="0" borderId="3" xfId="0" applyFont="1" applyBorder="1" applyAlignment="1">
      <alignment horizontal="center"/>
    </xf>
    <xf numFmtId="164" fontId="37" fillId="8" borderId="16" xfId="0" applyFont="1" applyFill="1" applyBorder="1" applyAlignment="1">
      <alignment horizontal="center"/>
    </xf>
    <xf numFmtId="164" fontId="39" fillId="8" borderId="2" xfId="0" applyFont="1" applyFill="1" applyBorder="1" applyAlignment="1">
      <alignment horizontal="center"/>
    </xf>
    <xf numFmtId="164" fontId="36" fillId="0" borderId="0" xfId="0" applyFont="1" applyAlignment="1">
      <alignment horizontal="center"/>
    </xf>
    <xf numFmtId="164" fontId="15" fillId="0" borderId="0" xfId="0" applyFont="1" applyAlignment="1">
      <alignment horizontal="right"/>
    </xf>
    <xf numFmtId="164" fontId="39" fillId="2" borderId="2" xfId="0" applyFont="1" applyFill="1" applyBorder="1"/>
    <xf numFmtId="164" fontId="36" fillId="0" borderId="0" xfId="0" applyFont="1" applyAlignment="1">
      <alignment horizontal="left"/>
    </xf>
    <xf numFmtId="164" fontId="42" fillId="0" borderId="0" xfId="0" applyFont="1"/>
    <xf numFmtId="164" fontId="43" fillId="0" borderId="0" xfId="0" applyFont="1" applyAlignment="1">
      <alignment horizontal="right"/>
    </xf>
    <xf numFmtId="164" fontId="43" fillId="0" borderId="0" xfId="0" applyFont="1"/>
    <xf numFmtId="1" fontId="15" fillId="2" borderId="50" xfId="0" applyNumberFormat="1" applyFont="1" applyFill="1" applyBorder="1" applyAlignment="1" applyProtection="1">
      <alignment horizontal="center" vertical="center"/>
      <protection hidden="1"/>
    </xf>
    <xf numFmtId="1" fontId="15" fillId="2" borderId="50" xfId="0" applyNumberFormat="1" applyFont="1" applyFill="1" applyBorder="1" applyAlignment="1" applyProtection="1">
      <alignment vertical="center"/>
      <protection hidden="1"/>
    </xf>
    <xf numFmtId="1" fontId="15" fillId="4" borderId="44" xfId="0" applyNumberFormat="1" applyFont="1" applyFill="1" applyBorder="1" applyAlignment="1" applyProtection="1">
      <alignment horizontal="center"/>
      <protection hidden="1"/>
    </xf>
    <xf numFmtId="2" fontId="15" fillId="3" borderId="51" xfId="0" applyNumberFormat="1" applyFont="1" applyFill="1" applyBorder="1" applyAlignment="1" applyProtection="1">
      <alignment horizontal="center"/>
      <protection hidden="1"/>
    </xf>
    <xf numFmtId="164" fontId="36" fillId="0" borderId="52" xfId="0" applyFont="1" applyBorder="1"/>
    <xf numFmtId="164" fontId="36" fillId="0" borderId="16" xfId="0" applyFont="1" applyBorder="1" applyAlignment="1">
      <alignment horizontal="center"/>
    </xf>
    <xf numFmtId="164" fontId="36" fillId="0" borderId="27" xfId="0" applyFont="1" applyBorder="1" applyAlignment="1">
      <alignment horizontal="center"/>
    </xf>
    <xf numFmtId="1" fontId="38" fillId="8" borderId="27" xfId="0" applyNumberFormat="1" applyFont="1" applyFill="1" applyBorder="1" applyAlignment="1">
      <alignment horizontal="center"/>
    </xf>
    <xf numFmtId="164" fontId="0" fillId="0" borderId="0" xfId="0" applyAlignment="1">
      <alignment horizontal="center"/>
    </xf>
    <xf numFmtId="164" fontId="26" fillId="0" borderId="0" xfId="0" applyFont="1" applyAlignment="1">
      <alignment horizontal="center"/>
    </xf>
    <xf numFmtId="164" fontId="26" fillId="0" borderId="0" xfId="0" applyFont="1" applyAlignment="1">
      <alignment horizontal="right"/>
    </xf>
    <xf numFmtId="164" fontId="23" fillId="0" borderId="10" xfId="0" applyFont="1" applyBorder="1"/>
    <xf numFmtId="164" fontId="0" fillId="0" borderId="7" xfId="0" applyBorder="1"/>
    <xf numFmtId="164" fontId="0" fillId="0" borderId="11" xfId="0" applyBorder="1"/>
    <xf numFmtId="164" fontId="36" fillId="0" borderId="33" xfId="0" applyFont="1" applyBorder="1"/>
    <xf numFmtId="164" fontId="36" fillId="0" borderId="5" xfId="0" applyFont="1" applyBorder="1" applyAlignment="1">
      <alignment horizontal="center"/>
    </xf>
    <xf numFmtId="164" fontId="0" fillId="0" borderId="12" xfId="0" applyBorder="1"/>
    <xf numFmtId="164" fontId="0" fillId="0" borderId="53" xfId="0" applyBorder="1"/>
    <xf numFmtId="164" fontId="0" fillId="0" borderId="13" xfId="0" applyBorder="1"/>
    <xf numFmtId="164" fontId="36" fillId="0" borderId="12" xfId="0" applyFont="1" applyBorder="1"/>
    <xf numFmtId="1" fontId="37" fillId="0" borderId="13" xfId="0" applyNumberFormat="1" applyFont="1" applyBorder="1" applyAlignment="1">
      <alignment horizontal="center"/>
    </xf>
    <xf numFmtId="1" fontId="39" fillId="8" borderId="6" xfId="0" applyNumberFormat="1" applyFont="1" applyFill="1" applyBorder="1" applyAlignment="1">
      <alignment horizontal="center"/>
    </xf>
    <xf numFmtId="164" fontId="29" fillId="2" borderId="0" xfId="0" applyFont="1" applyFill="1" applyProtection="1">
      <protection hidden="1"/>
    </xf>
    <xf numFmtId="164" fontId="23" fillId="0" borderId="54" xfId="0" applyFont="1" applyBorder="1"/>
    <xf numFmtId="164" fontId="0" fillId="0" borderId="55" xfId="0" applyBorder="1"/>
    <xf numFmtId="164" fontId="0" fillId="0" borderId="56" xfId="0" applyBorder="1"/>
    <xf numFmtId="164" fontId="36" fillId="0" borderId="38" xfId="0" applyFont="1" applyBorder="1" applyAlignment="1">
      <alignment horizontal="center"/>
    </xf>
    <xf numFmtId="2" fontId="38" fillId="8" borderId="5" xfId="0" applyNumberFormat="1" applyFont="1" applyFill="1" applyBorder="1" applyAlignment="1">
      <alignment horizontal="center"/>
    </xf>
    <xf numFmtId="164" fontId="36" fillId="0" borderId="13" xfId="0" applyFont="1" applyBorder="1"/>
    <xf numFmtId="164" fontId="36" fillId="0" borderId="13" xfId="0" applyFont="1" applyBorder="1" applyAlignment="1">
      <alignment horizontal="center"/>
    </xf>
    <xf numFmtId="164" fontId="36" fillId="0" borderId="12" xfId="0" applyFont="1" applyBorder="1" applyAlignment="1">
      <alignment horizontal="left" indent="1"/>
    </xf>
    <xf numFmtId="1" fontId="39" fillId="8" borderId="5" xfId="0" applyNumberFormat="1" applyFont="1" applyFill="1" applyBorder="1" applyAlignment="1">
      <alignment horizontal="center"/>
    </xf>
    <xf numFmtId="164" fontId="39" fillId="2" borderId="5" xfId="0" applyFont="1" applyFill="1" applyBorder="1"/>
    <xf numFmtId="164" fontId="36" fillId="0" borderId="57" xfId="0" applyFont="1" applyBorder="1" applyAlignment="1">
      <alignment horizontal="left" indent="1"/>
    </xf>
    <xf numFmtId="164" fontId="36" fillId="0" borderId="8" xfId="0" applyFont="1" applyBorder="1"/>
    <xf numFmtId="1" fontId="37" fillId="8" borderId="6" xfId="0" applyNumberFormat="1" applyFont="1" applyFill="1" applyBorder="1" applyAlignment="1">
      <alignment horizontal="center"/>
    </xf>
    <xf numFmtId="164" fontId="43" fillId="0" borderId="8" xfId="0" applyFont="1" applyBorder="1"/>
    <xf numFmtId="164" fontId="0" fillId="0" borderId="58" xfId="0" applyBorder="1"/>
    <xf numFmtId="164" fontId="0" fillId="0" borderId="2" xfId="0" applyBorder="1"/>
    <xf numFmtId="164" fontId="0" fillId="9" borderId="2" xfId="0" applyFill="1" applyBorder="1"/>
    <xf numFmtId="164" fontId="0" fillId="0" borderId="2" xfId="0" applyBorder="1" applyAlignment="1">
      <alignment horizontal="left"/>
    </xf>
    <xf numFmtId="164" fontId="0" fillId="3" borderId="2" xfId="0" applyFill="1" applyBorder="1"/>
    <xf numFmtId="164" fontId="0" fillId="8" borderId="2" xfId="0" applyFill="1" applyBorder="1"/>
    <xf numFmtId="164" fontId="0" fillId="0" borderId="17" xfId="0" applyBorder="1"/>
    <xf numFmtId="164" fontId="0" fillId="0" borderId="0" xfId="0" applyAlignment="1">
      <alignment horizontal="left"/>
    </xf>
    <xf numFmtId="164" fontId="37" fillId="0" borderId="47" xfId="0" applyFont="1" applyBorder="1" applyAlignment="1">
      <alignment horizontal="center"/>
    </xf>
    <xf numFmtId="1" fontId="37" fillId="8" borderId="27" xfId="0" applyNumberFormat="1" applyFont="1" applyFill="1" applyBorder="1" applyAlignment="1">
      <alignment horizontal="center"/>
    </xf>
    <xf numFmtId="164" fontId="36" fillId="0" borderId="12" xfId="0" applyFont="1" applyBorder="1" applyAlignment="1">
      <alignment horizontal="left" indent="2"/>
    </xf>
    <xf numFmtId="164" fontId="26" fillId="0" borderId="8" xfId="0" applyFont="1" applyBorder="1" applyAlignment="1">
      <alignment horizontal="right"/>
    </xf>
    <xf numFmtId="164" fontId="36" fillId="0" borderId="8" xfId="0" applyFont="1" applyBorder="1" applyAlignment="1">
      <alignment horizontal="left"/>
    </xf>
    <xf numFmtId="164" fontId="0" fillId="0" borderId="8" xfId="0" applyBorder="1"/>
    <xf numFmtId="164" fontId="11" fillId="4" borderId="2" xfId="0" applyFont="1" applyFill="1" applyBorder="1" applyAlignment="1" applyProtection="1">
      <alignment horizontal="center"/>
      <protection hidden="1"/>
    </xf>
    <xf numFmtId="164" fontId="11" fillId="2" borderId="3" xfId="0" applyFont="1" applyFill="1" applyBorder="1" applyProtection="1">
      <protection hidden="1"/>
    </xf>
    <xf numFmtId="164" fontId="11" fillId="2" borderId="43" xfId="0" applyFont="1" applyFill="1" applyBorder="1" applyProtection="1">
      <protection hidden="1"/>
    </xf>
    <xf numFmtId="164" fontId="11" fillId="2" borderId="59" xfId="0" applyFont="1" applyFill="1" applyBorder="1" applyProtection="1">
      <protection hidden="1"/>
    </xf>
    <xf numFmtId="164" fontId="11" fillId="2" borderId="60" xfId="0" applyFont="1" applyFill="1" applyBorder="1" applyProtection="1">
      <protection hidden="1"/>
    </xf>
    <xf numFmtId="1" fontId="15" fillId="0" borderId="44" xfId="0" applyNumberFormat="1" applyFont="1" applyBorder="1" applyAlignment="1" applyProtection="1">
      <alignment horizontal="center"/>
      <protection locked="0" hidden="1"/>
    </xf>
    <xf numFmtId="172" fontId="15" fillId="8" borderId="17" xfId="0" applyNumberFormat="1" applyFont="1" applyFill="1" applyBorder="1" applyAlignment="1" applyProtection="1">
      <alignment horizontal="left"/>
      <protection locked="0" hidden="1"/>
    </xf>
    <xf numFmtId="174" fontId="38" fillId="8" borderId="5" xfId="0" applyNumberFormat="1" applyFont="1" applyFill="1" applyBorder="1" applyAlignment="1">
      <alignment horizontal="center"/>
    </xf>
    <xf numFmtId="1" fontId="15" fillId="3" borderId="50" xfId="0" applyNumberFormat="1" applyFont="1" applyFill="1" applyBorder="1" applyAlignment="1" applyProtection="1">
      <alignment horizontal="center"/>
      <protection hidden="1"/>
    </xf>
    <xf numFmtId="174" fontId="15" fillId="3" borderId="18" xfId="0" applyNumberFormat="1" applyFont="1" applyFill="1" applyBorder="1" applyAlignment="1" applyProtection="1">
      <alignment horizontal="center"/>
      <protection hidden="1"/>
    </xf>
    <xf numFmtId="164" fontId="11" fillId="10" borderId="0" xfId="0" applyFont="1" applyFill="1" applyProtection="1">
      <protection hidden="1"/>
    </xf>
    <xf numFmtId="164" fontId="47" fillId="11" borderId="0" xfId="0" applyFont="1" applyFill="1" applyAlignment="1" applyProtection="1">
      <alignment horizontal="left"/>
      <protection hidden="1"/>
    </xf>
    <xf numFmtId="164" fontId="47" fillId="11" borderId="0" xfId="0" applyFont="1" applyFill="1" applyProtection="1">
      <protection hidden="1"/>
    </xf>
    <xf numFmtId="164" fontId="25" fillId="2" borderId="0" xfId="0" applyFont="1" applyFill="1" applyAlignment="1" applyProtection="1">
      <alignment horizontal="center"/>
      <protection hidden="1"/>
    </xf>
    <xf numFmtId="164" fontId="25" fillId="2" borderId="0" xfId="0" applyFont="1" applyFill="1" applyAlignment="1" applyProtection="1">
      <alignment horizontal="right"/>
      <protection hidden="1"/>
    </xf>
    <xf numFmtId="164" fontId="25" fillId="2" borderId="0" xfId="0" applyFont="1" applyFill="1" applyAlignment="1" applyProtection="1">
      <alignment horizontal="left"/>
      <protection hidden="1"/>
    </xf>
    <xf numFmtId="164" fontId="26" fillId="4" borderId="61" xfId="0" applyFont="1" applyFill="1" applyBorder="1" applyAlignment="1" applyProtection="1">
      <alignment vertical="center"/>
      <protection hidden="1"/>
    </xf>
    <xf numFmtId="172" fontId="15" fillId="3" borderId="14" xfId="0" applyNumberFormat="1" applyFont="1" applyFill="1" applyBorder="1" applyAlignment="1" applyProtection="1">
      <alignment horizontal="center"/>
      <protection locked="0" hidden="1"/>
    </xf>
    <xf numFmtId="1" fontId="15" fillId="3" borderId="50" xfId="0" applyNumberFormat="1" applyFont="1" applyFill="1" applyBorder="1" applyAlignment="1" applyProtection="1">
      <alignment horizontal="center" vertical="center"/>
      <protection hidden="1"/>
    </xf>
    <xf numFmtId="1" fontId="15" fillId="0" borderId="12" xfId="0" applyNumberFormat="1" applyFont="1" applyBorder="1" applyAlignment="1" applyProtection="1">
      <alignment horizontal="center"/>
      <protection hidden="1"/>
    </xf>
    <xf numFmtId="2" fontId="5" fillId="2" borderId="13" xfId="0" applyNumberFormat="1" applyFont="1" applyFill="1" applyBorder="1" applyAlignment="1" applyProtection="1">
      <alignment horizontal="center"/>
      <protection hidden="1"/>
    </xf>
    <xf numFmtId="1" fontId="15" fillId="2" borderId="12" xfId="0" applyNumberFormat="1" applyFont="1" applyFill="1" applyBorder="1" applyAlignment="1" applyProtection="1">
      <alignment horizontal="center"/>
      <protection hidden="1"/>
    </xf>
    <xf numFmtId="1" fontId="15" fillId="2" borderId="12" xfId="0" applyNumberFormat="1" applyFont="1" applyFill="1" applyBorder="1" applyAlignment="1" applyProtection="1">
      <alignment horizontal="center" vertical="center"/>
      <protection hidden="1"/>
    </xf>
    <xf numFmtId="164" fontId="25" fillId="2" borderId="13" xfId="0" applyFont="1" applyFill="1" applyBorder="1" applyProtection="1">
      <protection hidden="1"/>
    </xf>
    <xf numFmtId="1" fontId="15" fillId="2" borderId="57" xfId="0" applyNumberFormat="1" applyFont="1" applyFill="1" applyBorder="1" applyAlignment="1" applyProtection="1">
      <alignment horizontal="center" vertical="center"/>
      <protection hidden="1"/>
    </xf>
    <xf numFmtId="1" fontId="15" fillId="2" borderId="8" xfId="0" applyNumberFormat="1" applyFont="1" applyFill="1" applyBorder="1" applyAlignment="1" applyProtection="1">
      <alignment horizontal="center" vertical="center"/>
      <protection hidden="1"/>
    </xf>
    <xf numFmtId="164" fontId="25" fillId="2" borderId="8" xfId="0" applyFont="1" applyFill="1" applyBorder="1" applyProtection="1">
      <protection hidden="1"/>
    </xf>
    <xf numFmtId="10" fontId="26" fillId="3" borderId="5" xfId="0" applyNumberFormat="1" applyFont="1" applyFill="1" applyBorder="1" applyProtection="1">
      <protection hidden="1"/>
    </xf>
    <xf numFmtId="164" fontId="26" fillId="4" borderId="13" xfId="0" applyFont="1" applyFill="1" applyBorder="1" applyAlignment="1" applyProtection="1">
      <alignment horizontal="left" vertical="center"/>
      <protection hidden="1"/>
    </xf>
    <xf numFmtId="10" fontId="26" fillId="3" borderId="38" xfId="0" applyNumberFormat="1" applyFont="1" applyFill="1" applyBorder="1" applyAlignment="1" applyProtection="1">
      <alignment horizontal="center"/>
      <protection hidden="1"/>
    </xf>
    <xf numFmtId="10" fontId="26" fillId="3" borderId="5" xfId="0" applyNumberFormat="1" applyFont="1" applyFill="1" applyBorder="1" applyAlignment="1" applyProtection="1">
      <alignment horizontal="center"/>
      <protection hidden="1"/>
    </xf>
    <xf numFmtId="164" fontId="11" fillId="0" borderId="0" xfId="0" applyFont="1" applyAlignment="1" applyProtection="1">
      <alignment horizontal="left"/>
      <protection hidden="1"/>
    </xf>
    <xf numFmtId="10" fontId="26" fillId="3" borderId="31" xfId="0" applyNumberFormat="1" applyFont="1" applyFill="1" applyBorder="1" applyAlignment="1" applyProtection="1">
      <alignment horizontal="center"/>
      <protection hidden="1"/>
    </xf>
    <xf numFmtId="172" fontId="15" fillId="8" borderId="4" xfId="0" applyNumberFormat="1" applyFont="1" applyFill="1" applyBorder="1" applyAlignment="1" applyProtection="1">
      <alignment horizontal="center"/>
      <protection locked="0" hidden="1"/>
    </xf>
    <xf numFmtId="172" fontId="15" fillId="8" borderId="6" xfId="0" applyNumberFormat="1" applyFont="1" applyFill="1" applyBorder="1" applyAlignment="1" applyProtection="1">
      <alignment horizontal="center"/>
      <protection locked="0" hidden="1"/>
    </xf>
    <xf numFmtId="1" fontId="0" fillId="0" borderId="0" xfId="0" applyNumberFormat="1"/>
    <xf numFmtId="164" fontId="10" fillId="0" borderId="0" xfId="0" applyFont="1" applyAlignment="1" applyProtection="1">
      <alignment horizontal="left"/>
      <protection hidden="1"/>
    </xf>
    <xf numFmtId="164" fontId="0" fillId="0" borderId="0" xfId="0" applyProtection="1">
      <protection hidden="1"/>
    </xf>
    <xf numFmtId="164" fontId="49" fillId="0" borderId="0" xfId="0" applyFont="1" applyProtection="1">
      <protection hidden="1"/>
    </xf>
    <xf numFmtId="1" fontId="15" fillId="10" borderId="41" xfId="0" applyNumberFormat="1" applyFont="1" applyFill="1" applyBorder="1" applyAlignment="1" applyProtection="1">
      <alignment horizontal="center"/>
      <protection hidden="1"/>
    </xf>
    <xf numFmtId="1" fontId="15" fillId="10" borderId="40" xfId="0" applyNumberFormat="1" applyFont="1" applyFill="1" applyBorder="1" applyAlignment="1" applyProtection="1">
      <alignment horizontal="center"/>
      <protection hidden="1"/>
    </xf>
    <xf numFmtId="1" fontId="15" fillId="10" borderId="42" xfId="0" applyNumberFormat="1" applyFont="1" applyFill="1" applyBorder="1" applyAlignment="1" applyProtection="1">
      <alignment horizontal="center" vertical="center"/>
      <protection hidden="1"/>
    </xf>
    <xf numFmtId="1" fontId="15" fillId="10" borderId="40" xfId="0" applyNumberFormat="1" applyFont="1" applyFill="1" applyBorder="1" applyAlignment="1" applyProtection="1">
      <alignment horizontal="center" vertical="center"/>
      <protection hidden="1"/>
    </xf>
    <xf numFmtId="10" fontId="26" fillId="10" borderId="40" xfId="0" applyNumberFormat="1" applyFont="1" applyFill="1" applyBorder="1" applyAlignment="1" applyProtection="1">
      <alignment horizontal="center"/>
      <protection hidden="1"/>
    </xf>
    <xf numFmtId="1" fontId="26" fillId="10" borderId="50" xfId="0" applyNumberFormat="1" applyFont="1" applyFill="1" applyBorder="1" applyAlignment="1" applyProtection="1">
      <alignment horizontal="center"/>
      <protection hidden="1"/>
    </xf>
    <xf numFmtId="164" fontId="42" fillId="3" borderId="2" xfId="0" quotePrefix="1" applyFont="1" applyFill="1" applyBorder="1" applyAlignment="1">
      <alignment horizontal="center"/>
    </xf>
    <xf numFmtId="164" fontId="24" fillId="0" borderId="17" xfId="0" applyFont="1" applyBorder="1"/>
    <xf numFmtId="164" fontId="53" fillId="0" borderId="17" xfId="0" applyFont="1" applyBorder="1" applyAlignment="1">
      <alignment horizontal="center"/>
    </xf>
    <xf numFmtId="164" fontId="42" fillId="3" borderId="2" xfId="0" applyFont="1" applyFill="1" applyBorder="1" applyAlignment="1">
      <alignment horizontal="center"/>
    </xf>
    <xf numFmtId="164" fontId="54" fillId="3" borderId="2" xfId="0" applyFont="1" applyFill="1" applyBorder="1" applyAlignment="1">
      <alignment horizontal="center"/>
    </xf>
    <xf numFmtId="164" fontId="53" fillId="0" borderId="30" xfId="0" applyFont="1" applyBorder="1" applyAlignment="1">
      <alignment horizontal="center"/>
    </xf>
    <xf numFmtId="1" fontId="42" fillId="3" borderId="2" xfId="0" applyNumberFormat="1" applyFont="1" applyFill="1" applyBorder="1" applyAlignment="1">
      <alignment horizontal="center"/>
    </xf>
    <xf numFmtId="174" fontId="54" fillId="3" borderId="2" xfId="0" applyNumberFormat="1" applyFont="1" applyFill="1" applyBorder="1" applyAlignment="1">
      <alignment horizontal="center"/>
    </xf>
    <xf numFmtId="174" fontId="54" fillId="9" borderId="2" xfId="0" applyNumberFormat="1" applyFont="1" applyFill="1" applyBorder="1" applyAlignment="1">
      <alignment horizontal="center"/>
    </xf>
    <xf numFmtId="174" fontId="51" fillId="12" borderId="2" xfId="0" applyNumberFormat="1" applyFont="1" applyFill="1" applyBorder="1" applyAlignment="1">
      <alignment horizontal="center"/>
    </xf>
    <xf numFmtId="173" fontId="23" fillId="0" borderId="30" xfId="0" applyNumberFormat="1" applyFont="1" applyBorder="1" applyAlignment="1">
      <alignment horizontal="center" vertical="center"/>
    </xf>
    <xf numFmtId="1" fontId="23" fillId="0" borderId="2" xfId="0" applyNumberFormat="1" applyFont="1" applyBorder="1" applyAlignment="1">
      <alignment horizontal="center" vertical="center"/>
    </xf>
    <xf numFmtId="174" fontId="24" fillId="0" borderId="2" xfId="0" applyNumberFormat="1" applyFont="1" applyBorder="1" applyAlignment="1">
      <alignment horizontal="center" vertical="center"/>
    </xf>
    <xf numFmtId="1" fontId="24" fillId="0" borderId="2" xfId="0" applyNumberFormat="1" applyFont="1" applyBorder="1" applyAlignment="1">
      <alignment horizontal="center" vertical="center"/>
    </xf>
    <xf numFmtId="1" fontId="54" fillId="3" borderId="2" xfId="0" applyNumberFormat="1" applyFont="1" applyFill="1" applyBorder="1" applyAlignment="1">
      <alignment horizontal="center"/>
    </xf>
    <xf numFmtId="1" fontId="54" fillId="9" borderId="2" xfId="0" applyNumberFormat="1" applyFont="1" applyFill="1" applyBorder="1" applyAlignment="1">
      <alignment horizontal="center"/>
    </xf>
    <xf numFmtId="1" fontId="51" fillId="12" borderId="2" xfId="0" applyNumberFormat="1" applyFont="1" applyFill="1" applyBorder="1" applyAlignment="1">
      <alignment horizontal="center"/>
    </xf>
    <xf numFmtId="164" fontId="52" fillId="0" borderId="0" xfId="0" applyFont="1" applyAlignment="1">
      <alignment horizontal="right"/>
    </xf>
    <xf numFmtId="164" fontId="50" fillId="5" borderId="3" xfId="0" applyFont="1" applyFill="1" applyBorder="1" applyAlignment="1">
      <alignment horizontal="right"/>
    </xf>
    <xf numFmtId="164" fontId="50" fillId="5" borderId="49" xfId="0" applyFont="1" applyFill="1" applyBorder="1" applyAlignment="1">
      <alignment horizontal="right"/>
    </xf>
    <xf numFmtId="164" fontId="52" fillId="0" borderId="59" xfId="0" applyFont="1" applyBorder="1" applyAlignment="1">
      <alignment horizontal="right"/>
    </xf>
    <xf numFmtId="164" fontId="10" fillId="4" borderId="15" xfId="0" applyFont="1" applyFill="1" applyBorder="1" applyAlignment="1" applyProtection="1">
      <alignment horizontal="center"/>
      <protection hidden="1"/>
    </xf>
    <xf numFmtId="2" fontId="24" fillId="0" borderId="2" xfId="0" applyNumberFormat="1" applyFont="1" applyBorder="1" applyAlignment="1">
      <alignment horizontal="center"/>
    </xf>
    <xf numFmtId="164" fontId="24" fillId="0" borderId="2" xfId="0" applyFont="1" applyBorder="1"/>
    <xf numFmtId="164" fontId="24" fillId="0" borderId="18" xfId="0" applyFont="1" applyBorder="1"/>
    <xf numFmtId="2" fontId="24" fillId="0" borderId="0" xfId="0" applyNumberFormat="1" applyFont="1"/>
    <xf numFmtId="164" fontId="24" fillId="0" borderId="0" xfId="0" applyFont="1"/>
    <xf numFmtId="164" fontId="24" fillId="0" borderId="7" xfId="0" applyFont="1" applyBorder="1"/>
    <xf numFmtId="164" fontId="24" fillId="0" borderId="10" xfId="0" applyFont="1" applyBorder="1"/>
    <xf numFmtId="164" fontId="24" fillId="0" borderId="11" xfId="0" applyFont="1" applyBorder="1"/>
    <xf numFmtId="164" fontId="24" fillId="0" borderId="46" xfId="0" applyFont="1" applyBorder="1"/>
    <xf numFmtId="164" fontId="24" fillId="0" borderId="0" xfId="0" applyFont="1" applyAlignment="1">
      <alignment horizontal="center"/>
    </xf>
    <xf numFmtId="164" fontId="24" fillId="0" borderId="12" xfId="0" applyFont="1" applyBorder="1"/>
    <xf numFmtId="164" fontId="24" fillId="0" borderId="52" xfId="0" applyFont="1" applyBorder="1"/>
    <xf numFmtId="164" fontId="24" fillId="0" borderId="13" xfId="0" applyFont="1" applyBorder="1"/>
    <xf numFmtId="1" fontId="54" fillId="0" borderId="0" xfId="0" applyNumberFormat="1" applyFont="1" applyAlignment="1">
      <alignment horizontal="center"/>
    </xf>
    <xf numFmtId="164" fontId="24" fillId="0" borderId="43" xfId="0" applyFont="1" applyBorder="1"/>
    <xf numFmtId="164" fontId="24" fillId="0" borderId="3" xfId="0" applyFont="1" applyBorder="1"/>
    <xf numFmtId="164" fontId="24" fillId="0" borderId="27" xfId="0" applyFont="1" applyBorder="1"/>
    <xf numFmtId="164" fontId="24" fillId="0" borderId="5" xfId="0" applyFont="1" applyBorder="1"/>
    <xf numFmtId="2" fontId="24" fillId="0" borderId="17" xfId="0" applyNumberFormat="1" applyFont="1" applyBorder="1" applyAlignment="1">
      <alignment horizontal="center"/>
    </xf>
    <xf numFmtId="2" fontId="24" fillId="0" borderId="16" xfId="0" applyNumberFormat="1" applyFont="1" applyBorder="1" applyAlignment="1">
      <alignment horizontal="center"/>
    </xf>
    <xf numFmtId="164" fontId="24" fillId="0" borderId="28" xfId="0" applyFont="1" applyBorder="1"/>
    <xf numFmtId="164" fontId="24" fillId="0" borderId="0" xfId="0" applyFont="1" applyAlignment="1">
      <alignment horizontal="right"/>
    </xf>
    <xf numFmtId="164" fontId="24" fillId="0" borderId="60" xfId="0" applyFont="1" applyBorder="1"/>
    <xf numFmtId="164" fontId="55" fillId="0" borderId="0" xfId="0" applyFont="1" applyAlignment="1">
      <alignment horizontal="center"/>
    </xf>
    <xf numFmtId="174" fontId="55" fillId="0" borderId="0" xfId="0" applyNumberFormat="1" applyFont="1" applyAlignment="1">
      <alignment horizontal="center"/>
    </xf>
    <xf numFmtId="2" fontId="24" fillId="0" borderId="0" xfId="0" applyNumberFormat="1" applyFont="1" applyAlignment="1">
      <alignment horizontal="center"/>
    </xf>
    <xf numFmtId="174" fontId="24" fillId="0" borderId="2" xfId="0" applyNumberFormat="1" applyFont="1" applyBorder="1" applyAlignment="1">
      <alignment horizontal="center"/>
    </xf>
    <xf numFmtId="1" fontId="24" fillId="0" borderId="2" xfId="0" applyNumberFormat="1" applyFont="1" applyBorder="1" applyAlignment="1">
      <alignment horizontal="center"/>
    </xf>
    <xf numFmtId="164" fontId="24" fillId="0" borderId="49" xfId="0" applyFont="1" applyBorder="1"/>
    <xf numFmtId="174" fontId="42" fillId="0" borderId="0" xfId="0" applyNumberFormat="1" applyFont="1" applyAlignment="1">
      <alignment horizontal="center"/>
    </xf>
    <xf numFmtId="2" fontId="55" fillId="0" borderId="0" xfId="0" applyNumberFormat="1" applyFont="1" applyAlignment="1">
      <alignment horizontal="center"/>
    </xf>
    <xf numFmtId="1" fontId="42" fillId="0" borderId="0" xfId="0" applyNumberFormat="1" applyFont="1" applyAlignment="1">
      <alignment horizontal="center"/>
    </xf>
    <xf numFmtId="1" fontId="55" fillId="0" borderId="0" xfId="0" applyNumberFormat="1" applyFont="1" applyAlignment="1">
      <alignment horizontal="center"/>
    </xf>
    <xf numFmtId="2" fontId="42" fillId="0" borderId="0" xfId="0" applyNumberFormat="1" applyFont="1" applyAlignment="1">
      <alignment horizontal="center"/>
    </xf>
    <xf numFmtId="164" fontId="24" fillId="0" borderId="59" xfId="0" applyFont="1" applyBorder="1"/>
    <xf numFmtId="164" fontId="24" fillId="0" borderId="57" xfId="0" applyFont="1" applyBorder="1"/>
    <xf numFmtId="164" fontId="24" fillId="0" borderId="8" xfId="0" applyFont="1" applyBorder="1"/>
    <xf numFmtId="164" fontId="24" fillId="0" borderId="58" xfId="0" applyFont="1" applyBorder="1"/>
    <xf numFmtId="2" fontId="23" fillId="3" borderId="45" xfId="0" applyNumberFormat="1" applyFont="1" applyFill="1" applyBorder="1" applyAlignment="1">
      <alignment horizontal="center"/>
    </xf>
    <xf numFmtId="2" fontId="24" fillId="0" borderId="18" xfId="0" applyNumberFormat="1" applyFont="1" applyBorder="1" applyAlignment="1">
      <alignment horizontal="center"/>
    </xf>
    <xf numFmtId="2" fontId="24" fillId="0" borderId="30" xfId="0" applyNumberFormat="1" applyFont="1" applyBorder="1" applyAlignment="1">
      <alignment horizontal="center"/>
    </xf>
    <xf numFmtId="164" fontId="24" fillId="0" borderId="22" xfId="0" applyFont="1" applyBorder="1"/>
    <xf numFmtId="164" fontId="24" fillId="0" borderId="62" xfId="0" applyFont="1" applyBorder="1"/>
    <xf numFmtId="2" fontId="24" fillId="0" borderId="6" xfId="0" applyNumberFormat="1" applyFont="1" applyBorder="1" applyAlignment="1">
      <alignment horizontal="center"/>
    </xf>
    <xf numFmtId="2" fontId="24" fillId="0" borderId="8" xfId="0" applyNumberFormat="1" applyFont="1" applyBorder="1"/>
    <xf numFmtId="164" fontId="24" fillId="0" borderId="47" xfId="0" applyFont="1" applyBorder="1"/>
    <xf numFmtId="2" fontId="24" fillId="0" borderId="47" xfId="0" applyNumberFormat="1" applyFont="1" applyBorder="1" applyAlignment="1">
      <alignment horizontal="center"/>
    </xf>
    <xf numFmtId="2" fontId="24" fillId="0" borderId="3" xfId="0" applyNumberFormat="1" applyFont="1" applyBorder="1" applyAlignment="1">
      <alignment horizontal="center"/>
    </xf>
    <xf numFmtId="174" fontId="24" fillId="0" borderId="5" xfId="0" applyNumberFormat="1" applyFont="1" applyBorder="1" applyAlignment="1">
      <alignment horizontal="center"/>
    </xf>
    <xf numFmtId="164" fontId="24" fillId="0" borderId="27" xfId="0" applyFont="1" applyBorder="1" applyAlignment="1">
      <alignment horizontal="center"/>
    </xf>
    <xf numFmtId="164" fontId="23" fillId="3" borderId="63" xfId="0" applyFont="1" applyFill="1" applyBorder="1" applyAlignment="1">
      <alignment horizontal="center"/>
    </xf>
    <xf numFmtId="164" fontId="23" fillId="3" borderId="64" xfId="0" applyFont="1" applyFill="1" applyBorder="1" applyAlignment="1">
      <alignment horizontal="center"/>
    </xf>
    <xf numFmtId="164" fontId="23" fillId="3" borderId="40" xfId="0" applyFont="1" applyFill="1" applyBorder="1" applyAlignment="1">
      <alignment horizontal="center"/>
    </xf>
    <xf numFmtId="2" fontId="23" fillId="2" borderId="9" xfId="0" applyNumberFormat="1" applyFont="1" applyFill="1" applyBorder="1" applyAlignment="1">
      <alignment horizontal="center"/>
    </xf>
    <xf numFmtId="2" fontId="24" fillId="0" borderId="5" xfId="0" applyNumberFormat="1" applyFont="1" applyBorder="1" applyAlignment="1">
      <alignment horizontal="center"/>
    </xf>
    <xf numFmtId="164" fontId="23" fillId="2" borderId="26" xfId="0" applyFont="1" applyFill="1" applyBorder="1"/>
    <xf numFmtId="2" fontId="23" fillId="2" borderId="4" xfId="0" applyNumberFormat="1" applyFont="1" applyFill="1" applyBorder="1" applyAlignment="1">
      <alignment horizontal="center"/>
    </xf>
    <xf numFmtId="2" fontId="24" fillId="0" borderId="29" xfId="0" applyNumberFormat="1" applyFont="1" applyBorder="1" applyAlignment="1">
      <alignment horizontal="center"/>
    </xf>
    <xf numFmtId="164" fontId="24" fillId="0" borderId="30" xfId="0" applyFont="1" applyBorder="1"/>
    <xf numFmtId="174" fontId="24" fillId="0" borderId="30" xfId="0" applyNumberFormat="1" applyFont="1" applyBorder="1" applyAlignment="1">
      <alignment horizontal="center"/>
    </xf>
    <xf numFmtId="1" fontId="24" fillId="0" borderId="30" xfId="0" applyNumberFormat="1" applyFont="1" applyBorder="1" applyAlignment="1">
      <alignment horizontal="center"/>
    </xf>
    <xf numFmtId="164" fontId="24" fillId="0" borderId="38" xfId="0" applyFont="1" applyBorder="1"/>
    <xf numFmtId="164" fontId="23" fillId="2" borderId="14" xfId="0" applyFont="1" applyFill="1" applyBorder="1"/>
    <xf numFmtId="164" fontId="23" fillId="2" borderId="64" xfId="0" applyFont="1" applyFill="1" applyBorder="1"/>
    <xf numFmtId="2" fontId="23" fillId="2" borderId="64" xfId="0" applyNumberFormat="1" applyFont="1" applyFill="1" applyBorder="1" applyAlignment="1">
      <alignment horizontal="center"/>
    </xf>
    <xf numFmtId="164" fontId="23" fillId="2" borderId="64" xfId="0" applyFont="1" applyFill="1" applyBorder="1" applyAlignment="1">
      <alignment horizontal="center"/>
    </xf>
    <xf numFmtId="2" fontId="23" fillId="2" borderId="14" xfId="0" applyNumberFormat="1" applyFont="1" applyFill="1" applyBorder="1"/>
    <xf numFmtId="164" fontId="23" fillId="2" borderId="40" xfId="0" applyFont="1" applyFill="1" applyBorder="1"/>
    <xf numFmtId="164" fontId="23" fillId="2" borderId="65" xfId="0" applyFont="1" applyFill="1" applyBorder="1" applyAlignment="1">
      <alignment horizontal="center"/>
    </xf>
    <xf numFmtId="164" fontId="23" fillId="2" borderId="20" xfId="0" applyFont="1" applyFill="1" applyBorder="1" applyAlignment="1">
      <alignment horizontal="center"/>
    </xf>
    <xf numFmtId="164" fontId="23" fillId="2" borderId="21" xfId="0" applyFont="1" applyFill="1" applyBorder="1" applyAlignment="1">
      <alignment horizontal="center"/>
    </xf>
    <xf numFmtId="164" fontId="23" fillId="2" borderId="24" xfId="0" applyFont="1" applyFill="1" applyBorder="1" applyAlignment="1">
      <alignment horizontal="center"/>
    </xf>
    <xf numFmtId="164" fontId="23" fillId="2" borderId="23" xfId="0" applyFont="1" applyFill="1" applyBorder="1" applyAlignment="1">
      <alignment horizontal="center"/>
    </xf>
    <xf numFmtId="164" fontId="23" fillId="2" borderId="25" xfId="0" applyFont="1" applyFill="1" applyBorder="1" applyAlignment="1">
      <alignment horizontal="center"/>
    </xf>
    <xf numFmtId="164" fontId="23" fillId="2" borderId="41" xfId="0" applyFont="1" applyFill="1" applyBorder="1" applyAlignment="1">
      <alignment horizontal="center"/>
    </xf>
    <xf numFmtId="164" fontId="24" fillId="4" borderId="66" xfId="0" applyFont="1" applyFill="1" applyBorder="1" applyAlignment="1">
      <alignment horizontal="center"/>
    </xf>
    <xf numFmtId="164" fontId="24" fillId="0" borderId="12" xfId="0" applyFont="1" applyBorder="1" applyAlignment="1">
      <alignment horizontal="center"/>
    </xf>
    <xf numFmtId="164" fontId="24" fillId="0" borderId="57" xfId="0" applyFont="1" applyBorder="1" applyAlignment="1">
      <alignment horizontal="center"/>
    </xf>
    <xf numFmtId="164" fontId="24" fillId="4" borderId="27" xfId="0" applyFont="1" applyFill="1" applyBorder="1" applyAlignment="1">
      <alignment horizontal="center"/>
    </xf>
    <xf numFmtId="164" fontId="24" fillId="4" borderId="18" xfId="0" applyFont="1" applyFill="1" applyBorder="1"/>
    <xf numFmtId="164" fontId="24" fillId="4" borderId="52" xfId="0" applyFont="1" applyFill="1" applyBorder="1" applyAlignment="1">
      <alignment horizontal="right"/>
    </xf>
    <xf numFmtId="164" fontId="24" fillId="4" borderId="3" xfId="0" applyFont="1" applyFill="1" applyBorder="1"/>
    <xf numFmtId="164" fontId="24" fillId="4" borderId="43" xfId="0" applyFont="1" applyFill="1" applyBorder="1" applyAlignment="1">
      <alignment horizontal="right"/>
    </xf>
    <xf numFmtId="164" fontId="24" fillId="4" borderId="49" xfId="0" applyFont="1" applyFill="1" applyBorder="1"/>
    <xf numFmtId="164" fontId="24" fillId="4" borderId="60" xfId="0" applyFont="1" applyFill="1" applyBorder="1" applyAlignment="1">
      <alignment horizontal="right"/>
    </xf>
    <xf numFmtId="164" fontId="24" fillId="4" borderId="3" xfId="0" applyFont="1" applyFill="1" applyBorder="1" applyAlignment="1">
      <alignment horizontal="right"/>
    </xf>
    <xf numFmtId="164" fontId="24" fillId="4" borderId="30" xfId="0" applyFont="1" applyFill="1" applyBorder="1" applyAlignment="1">
      <alignment horizontal="right"/>
    </xf>
    <xf numFmtId="1" fontId="24" fillId="3" borderId="2" xfId="0" applyNumberFormat="1" applyFont="1" applyFill="1" applyBorder="1" applyAlignment="1">
      <alignment horizontal="center"/>
    </xf>
    <xf numFmtId="164" fontId="24" fillId="4" borderId="12" xfId="0" applyFont="1" applyFill="1" applyBorder="1"/>
    <xf numFmtId="164" fontId="24" fillId="4" borderId="0" xfId="0" applyFont="1" applyFill="1"/>
    <xf numFmtId="164" fontId="24" fillId="4" borderId="0" xfId="0" applyFont="1" applyFill="1" applyAlignment="1">
      <alignment horizontal="right"/>
    </xf>
    <xf numFmtId="164" fontId="24" fillId="4" borderId="12" xfId="0" applyFont="1" applyFill="1" applyBorder="1" applyAlignment="1">
      <alignment horizontal="right"/>
    </xf>
    <xf numFmtId="164" fontId="23" fillId="4" borderId="12" xfId="0" applyFont="1" applyFill="1" applyBorder="1"/>
    <xf numFmtId="164" fontId="23" fillId="4" borderId="0" xfId="0" applyFont="1" applyFill="1"/>
    <xf numFmtId="164" fontId="23" fillId="4" borderId="57" xfId="0" applyFont="1" applyFill="1" applyBorder="1"/>
    <xf numFmtId="164" fontId="23" fillId="4" borderId="8" xfId="0" applyFont="1" applyFill="1" applyBorder="1"/>
    <xf numFmtId="164" fontId="24" fillId="4" borderId="8" xfId="0" applyFont="1" applyFill="1" applyBorder="1"/>
    <xf numFmtId="164" fontId="24" fillId="4" borderId="8" xfId="0" applyFont="1" applyFill="1" applyBorder="1" applyAlignment="1">
      <alignment horizontal="right"/>
    </xf>
    <xf numFmtId="164" fontId="24" fillId="3" borderId="5" xfId="0" applyFont="1" applyFill="1" applyBorder="1" applyAlignment="1">
      <alignment horizontal="center"/>
    </xf>
    <xf numFmtId="174" fontId="24" fillId="3" borderId="5" xfId="0" applyNumberFormat="1" applyFont="1" applyFill="1" applyBorder="1" applyAlignment="1">
      <alignment horizontal="center"/>
    </xf>
    <xf numFmtId="1" fontId="24" fillId="3" borderId="5" xfId="0" applyNumberFormat="1" applyFont="1" applyFill="1" applyBorder="1" applyAlignment="1">
      <alignment horizontal="center"/>
    </xf>
    <xf numFmtId="2" fontId="24" fillId="3" borderId="5" xfId="0" applyNumberFormat="1" applyFont="1" applyFill="1" applyBorder="1" applyAlignment="1">
      <alignment horizontal="center"/>
    </xf>
    <xf numFmtId="164" fontId="24" fillId="4" borderId="2" xfId="0" applyFont="1" applyFill="1" applyBorder="1" applyAlignment="1">
      <alignment horizontal="center"/>
    </xf>
    <xf numFmtId="1" fontId="24" fillId="3" borderId="27" xfId="0" applyNumberFormat="1" applyFont="1" applyFill="1" applyBorder="1" applyAlignment="1">
      <alignment horizontal="center"/>
    </xf>
    <xf numFmtId="1" fontId="24" fillId="3" borderId="16" xfId="0" applyNumberFormat="1" applyFont="1" applyFill="1" applyBorder="1" applyAlignment="1">
      <alignment horizontal="center"/>
    </xf>
    <xf numFmtId="174" fontId="24" fillId="10" borderId="5" xfId="0" applyNumberFormat="1" applyFont="1" applyFill="1" applyBorder="1" applyAlignment="1">
      <alignment horizontal="center"/>
    </xf>
    <xf numFmtId="1" fontId="24" fillId="10" borderId="29" xfId="0" applyNumberFormat="1" applyFont="1" applyFill="1" applyBorder="1" applyAlignment="1">
      <alignment horizontal="center"/>
    </xf>
    <xf numFmtId="164" fontId="24" fillId="0" borderId="67" xfId="0" applyFont="1" applyBorder="1"/>
    <xf numFmtId="164" fontId="24" fillId="4" borderId="16" xfId="0" applyFont="1" applyFill="1" applyBorder="1" applyAlignment="1">
      <alignment horizontal="center"/>
    </xf>
    <xf numFmtId="164" fontId="52" fillId="3" borderId="2" xfId="0" applyFont="1" applyFill="1" applyBorder="1" applyAlignment="1">
      <alignment horizontal="center"/>
    </xf>
    <xf numFmtId="164" fontId="0" fillId="2" borderId="0" xfId="0" applyFill="1" applyAlignment="1">
      <alignment horizontal="right"/>
    </xf>
    <xf numFmtId="164" fontId="57" fillId="0" borderId="0" xfId="0" applyFont="1" applyAlignment="1" applyProtection="1">
      <alignment horizontal="left"/>
      <protection hidden="1"/>
    </xf>
    <xf numFmtId="164" fontId="11" fillId="0" borderId="0" xfId="0" applyFont="1" applyAlignment="1" applyProtection="1">
      <alignment horizontal="left" wrapText="1" indent="1"/>
      <protection hidden="1"/>
    </xf>
    <xf numFmtId="164" fontId="11" fillId="0" borderId="0" xfId="0" applyFont="1" applyAlignment="1" applyProtection="1">
      <alignment horizontal="left" indent="1"/>
      <protection hidden="1"/>
    </xf>
    <xf numFmtId="164" fontId="11" fillId="4" borderId="0" xfId="0" applyFont="1" applyFill="1" applyAlignment="1" applyProtection="1">
      <alignment horizontal="left" indent="1"/>
      <protection hidden="1"/>
    </xf>
    <xf numFmtId="164" fontId="11" fillId="5" borderId="0" xfId="0" applyFont="1" applyFill="1" applyAlignment="1" applyProtection="1">
      <alignment horizontal="left" indent="1"/>
      <protection hidden="1"/>
    </xf>
    <xf numFmtId="164" fontId="11" fillId="8" borderId="0" xfId="0" applyFont="1" applyFill="1" applyAlignment="1" applyProtection="1">
      <alignment horizontal="left" indent="1"/>
      <protection hidden="1"/>
    </xf>
    <xf numFmtId="164" fontId="14" fillId="10" borderId="0" xfId="0" applyFont="1" applyFill="1" applyAlignment="1" applyProtection="1">
      <alignment horizontal="left" indent="1"/>
      <protection hidden="1"/>
    </xf>
    <xf numFmtId="164" fontId="11" fillId="3" borderId="0" xfId="0" applyFont="1" applyFill="1" applyAlignment="1" applyProtection="1">
      <alignment horizontal="left" indent="1"/>
      <protection hidden="1"/>
    </xf>
    <xf numFmtId="164" fontId="57" fillId="0" borderId="0" xfId="0" applyFont="1" applyAlignment="1" applyProtection="1">
      <alignment horizontal="left" indent="2"/>
      <protection hidden="1"/>
    </xf>
    <xf numFmtId="164" fontId="11" fillId="4" borderId="2" xfId="0" applyFont="1" applyFill="1" applyBorder="1" applyProtection="1">
      <protection hidden="1"/>
    </xf>
    <xf numFmtId="164" fontId="11" fillId="4" borderId="16" xfId="0" applyFont="1" applyFill="1" applyBorder="1" applyProtection="1">
      <protection hidden="1"/>
    </xf>
    <xf numFmtId="164" fontId="10" fillId="4" borderId="41" xfId="0" applyFont="1" applyFill="1" applyBorder="1" applyAlignment="1" applyProtection="1">
      <alignment horizontal="left"/>
      <protection hidden="1"/>
    </xf>
    <xf numFmtId="164" fontId="11" fillId="4" borderId="26" xfId="0" applyFont="1" applyFill="1" applyBorder="1" applyAlignment="1" applyProtection="1">
      <alignment horizontal="center" vertical="center"/>
      <protection hidden="1"/>
    </xf>
    <xf numFmtId="164" fontId="11" fillId="4" borderId="27" xfId="0" applyFont="1" applyFill="1" applyBorder="1" applyAlignment="1" applyProtection="1">
      <alignment horizontal="center"/>
      <protection hidden="1"/>
    </xf>
    <xf numFmtId="164" fontId="11" fillId="4" borderId="28" xfId="0" applyFont="1" applyFill="1" applyBorder="1" applyAlignment="1" applyProtection="1">
      <alignment horizontal="center"/>
      <protection hidden="1"/>
    </xf>
    <xf numFmtId="164" fontId="10" fillId="4" borderId="41" xfId="0" applyFont="1" applyFill="1" applyBorder="1" applyProtection="1">
      <protection hidden="1"/>
    </xf>
    <xf numFmtId="164" fontId="11" fillId="4" borderId="66" xfId="0" applyFont="1" applyFill="1" applyBorder="1" applyAlignment="1" applyProtection="1">
      <alignment horizontal="center"/>
      <protection hidden="1"/>
    </xf>
    <xf numFmtId="2" fontId="11" fillId="4" borderId="2" xfId="0" applyNumberFormat="1" applyFont="1" applyFill="1" applyBorder="1" applyAlignment="1" applyProtection="1">
      <alignment horizontal="center"/>
      <protection hidden="1"/>
    </xf>
    <xf numFmtId="164" fontId="60" fillId="0" borderId="3" xfId="0" applyFont="1" applyBorder="1" applyProtection="1">
      <protection hidden="1"/>
    </xf>
    <xf numFmtId="164" fontId="11" fillId="0" borderId="49" xfId="0" applyFont="1" applyBorder="1" applyProtection="1">
      <protection hidden="1"/>
    </xf>
    <xf numFmtId="2" fontId="11" fillId="4" borderId="30" xfId="0" applyNumberFormat="1" applyFont="1" applyFill="1" applyBorder="1" applyAlignment="1" applyProtection="1">
      <alignment horizontal="center"/>
      <protection hidden="1"/>
    </xf>
    <xf numFmtId="174" fontId="11" fillId="0" borderId="0" xfId="0" applyNumberFormat="1" applyFont="1" applyAlignment="1" applyProtection="1">
      <alignment horizontal="center"/>
      <protection hidden="1"/>
    </xf>
    <xf numFmtId="164" fontId="57" fillId="0" borderId="18" xfId="0" applyFont="1" applyBorder="1" applyAlignment="1" applyProtection="1">
      <alignment horizontal="left" indent="1"/>
      <protection hidden="1"/>
    </xf>
    <xf numFmtId="174" fontId="57" fillId="0" borderId="46" xfId="0" applyNumberFormat="1" applyFont="1" applyBorder="1" applyAlignment="1" applyProtection="1">
      <alignment horizontal="center"/>
      <protection hidden="1"/>
    </xf>
    <xf numFmtId="174" fontId="57" fillId="0" borderId="52" xfId="0" applyNumberFormat="1" applyFont="1" applyBorder="1" applyAlignment="1" applyProtection="1">
      <alignment horizontal="center"/>
      <protection hidden="1"/>
    </xf>
    <xf numFmtId="164" fontId="57" fillId="0" borderId="3" xfId="0" applyFont="1" applyBorder="1" applyAlignment="1" applyProtection="1">
      <alignment horizontal="left" indent="2"/>
      <protection hidden="1"/>
    </xf>
    <xf numFmtId="174" fontId="57" fillId="0" borderId="0" xfId="0" applyNumberFormat="1" applyFont="1" applyAlignment="1" applyProtection="1">
      <alignment horizontal="center"/>
      <protection hidden="1"/>
    </xf>
    <xf numFmtId="174" fontId="57" fillId="0" borderId="43" xfId="0" applyNumberFormat="1" applyFont="1" applyBorder="1" applyAlignment="1" applyProtection="1">
      <alignment horizontal="center"/>
      <protection hidden="1"/>
    </xf>
    <xf numFmtId="164" fontId="57" fillId="0" borderId="49" xfId="0" applyFont="1" applyBorder="1" applyAlignment="1" applyProtection="1">
      <alignment horizontal="left" indent="2"/>
      <protection hidden="1"/>
    </xf>
    <xf numFmtId="174" fontId="57" fillId="0" borderId="59" xfId="0" applyNumberFormat="1" applyFont="1" applyBorder="1" applyAlignment="1" applyProtection="1">
      <alignment horizontal="center"/>
      <protection hidden="1"/>
    </xf>
    <xf numFmtId="174" fontId="57" fillId="0" borderId="60" xfId="0" applyNumberFormat="1" applyFont="1" applyBorder="1" applyAlignment="1" applyProtection="1">
      <alignment horizontal="center"/>
      <protection hidden="1"/>
    </xf>
    <xf numFmtId="164" fontId="57" fillId="0" borderId="3" xfId="0" applyFont="1" applyBorder="1" applyAlignment="1" applyProtection="1">
      <alignment horizontal="left" indent="1"/>
      <protection hidden="1"/>
    </xf>
    <xf numFmtId="1" fontId="11" fillId="4" borderId="2" xfId="0" applyNumberFormat="1" applyFont="1" applyFill="1" applyBorder="1" applyAlignment="1" applyProtection="1">
      <alignment horizontal="center"/>
      <protection hidden="1"/>
    </xf>
    <xf numFmtId="164" fontId="57" fillId="0" borderId="0" xfId="0" applyFont="1" applyProtection="1">
      <protection hidden="1"/>
    </xf>
    <xf numFmtId="164" fontId="57" fillId="0" borderId="43" xfId="0" applyFont="1" applyBorder="1" applyProtection="1">
      <protection hidden="1"/>
    </xf>
    <xf numFmtId="164" fontId="57" fillId="0" borderId="49" xfId="0" applyFont="1" applyBorder="1" applyAlignment="1" applyProtection="1">
      <alignment horizontal="left" indent="1"/>
      <protection hidden="1"/>
    </xf>
    <xf numFmtId="173" fontId="11" fillId="5" borderId="2" xfId="0" applyNumberFormat="1" applyFont="1" applyFill="1" applyBorder="1" applyAlignment="1" applyProtection="1">
      <alignment horizontal="center"/>
      <protection hidden="1"/>
    </xf>
    <xf numFmtId="1" fontId="11" fillId="5" borderId="2" xfId="0" applyNumberFormat="1" applyFont="1" applyFill="1" applyBorder="1" applyAlignment="1" applyProtection="1">
      <alignment horizontal="center"/>
      <protection hidden="1"/>
    </xf>
    <xf numFmtId="164" fontId="58" fillId="0" borderId="0" xfId="0" applyFont="1" applyProtection="1">
      <protection hidden="1"/>
    </xf>
    <xf numFmtId="164" fontId="11" fillId="0" borderId="0" xfId="0" applyFont="1" applyAlignment="1" applyProtection="1">
      <alignment horizontal="center"/>
      <protection hidden="1"/>
    </xf>
    <xf numFmtId="164" fontId="57" fillId="0" borderId="3" xfId="0" applyFont="1" applyBorder="1" applyAlignment="1" applyProtection="1">
      <alignment horizontal="left"/>
      <protection hidden="1"/>
    </xf>
    <xf numFmtId="164" fontId="10" fillId="4" borderId="2" xfId="0" applyFont="1" applyFill="1" applyBorder="1" applyProtection="1">
      <protection hidden="1"/>
    </xf>
    <xf numFmtId="164" fontId="11" fillId="2" borderId="52" xfId="0" applyFont="1" applyFill="1" applyBorder="1" applyProtection="1">
      <protection hidden="1"/>
    </xf>
    <xf numFmtId="2" fontId="11" fillId="2" borderId="2" xfId="0" applyNumberFormat="1" applyFont="1" applyFill="1" applyBorder="1" applyAlignment="1" applyProtection="1">
      <alignment horizontal="center"/>
      <protection hidden="1"/>
    </xf>
    <xf numFmtId="2" fontId="11" fillId="2" borderId="0" xfId="0" applyNumberFormat="1" applyFont="1" applyFill="1" applyAlignment="1" applyProtection="1">
      <alignment horizontal="center"/>
      <protection hidden="1"/>
    </xf>
    <xf numFmtId="2" fontId="57" fillId="0" borderId="43" xfId="0" applyNumberFormat="1" applyFont="1" applyBorder="1" applyAlignment="1" applyProtection="1">
      <alignment horizontal="center"/>
      <protection hidden="1"/>
    </xf>
    <xf numFmtId="164" fontId="11" fillId="0" borderId="60" xfId="0" applyFont="1" applyBorder="1" applyProtection="1">
      <protection hidden="1"/>
    </xf>
    <xf numFmtId="164" fontId="44" fillId="0" borderId="3" xfId="0" applyFont="1" applyBorder="1" applyProtection="1">
      <protection hidden="1"/>
    </xf>
    <xf numFmtId="164" fontId="57" fillId="0" borderId="60" xfId="0" applyFont="1" applyBorder="1" applyProtection="1">
      <protection hidden="1"/>
    </xf>
    <xf numFmtId="2" fontId="57" fillId="0" borderId="0" xfId="0" applyNumberFormat="1" applyFont="1" applyAlignment="1" applyProtection="1">
      <alignment horizontal="center"/>
      <protection hidden="1"/>
    </xf>
    <xf numFmtId="2" fontId="57" fillId="0" borderId="0" xfId="0" applyNumberFormat="1" applyFont="1" applyAlignment="1" applyProtection="1">
      <alignment horizontal="left" indent="2"/>
      <protection hidden="1"/>
    </xf>
    <xf numFmtId="164" fontId="57" fillId="0" borderId="43" xfId="0" applyFont="1" applyBorder="1" applyAlignment="1" applyProtection="1">
      <alignment horizontal="left" indent="2"/>
      <protection hidden="1"/>
    </xf>
    <xf numFmtId="164" fontId="11" fillId="0" borderId="43" xfId="0" applyFont="1" applyBorder="1" applyProtection="1">
      <protection hidden="1"/>
    </xf>
    <xf numFmtId="2" fontId="11" fillId="0" borderId="59" xfId="0" applyNumberFormat="1" applyFont="1" applyBorder="1" applyAlignment="1" applyProtection="1">
      <alignment horizontal="center"/>
      <protection hidden="1"/>
    </xf>
    <xf numFmtId="164" fontId="11" fillId="0" borderId="59" xfId="0" applyFont="1" applyBorder="1" applyProtection="1">
      <protection hidden="1"/>
    </xf>
    <xf numFmtId="174" fontId="11" fillId="2" borderId="2" xfId="0" applyNumberFormat="1" applyFont="1" applyFill="1" applyBorder="1" applyAlignment="1" applyProtection="1">
      <alignment horizontal="center"/>
      <protection hidden="1"/>
    </xf>
    <xf numFmtId="174" fontId="11" fillId="8" borderId="2" xfId="0" applyNumberFormat="1" applyFont="1" applyFill="1" applyBorder="1" applyAlignment="1" applyProtection="1">
      <alignment horizontal="center"/>
      <protection locked="0" hidden="1"/>
    </xf>
    <xf numFmtId="164" fontId="11" fillId="2" borderId="0" xfId="0" applyFont="1" applyFill="1" applyAlignment="1" applyProtection="1">
      <alignment horizontal="right"/>
      <protection hidden="1"/>
    </xf>
    <xf numFmtId="164" fontId="11" fillId="5" borderId="2" xfId="0" applyFont="1" applyFill="1" applyBorder="1" applyProtection="1">
      <protection hidden="1"/>
    </xf>
    <xf numFmtId="174" fontId="11" fillId="5" borderId="2" xfId="0" applyNumberFormat="1" applyFont="1" applyFill="1" applyBorder="1" applyAlignment="1" applyProtection="1">
      <alignment horizontal="center"/>
      <protection hidden="1"/>
    </xf>
    <xf numFmtId="174" fontId="11" fillId="5" borderId="68" xfId="0" applyNumberFormat="1" applyFont="1" applyFill="1" applyBorder="1" applyAlignment="1" applyProtection="1">
      <alignment horizontal="center"/>
      <protection hidden="1"/>
    </xf>
    <xf numFmtId="174" fontId="11" fillId="0" borderId="59" xfId="0" applyNumberFormat="1" applyFont="1" applyBorder="1" applyAlignment="1" applyProtection="1">
      <alignment horizontal="center"/>
      <protection hidden="1"/>
    </xf>
    <xf numFmtId="164" fontId="59" fillId="0" borderId="0" xfId="0" applyFont="1" applyProtection="1">
      <protection hidden="1"/>
    </xf>
    <xf numFmtId="164" fontId="59" fillId="0" borderId="43" xfId="0" applyFont="1" applyBorder="1" applyProtection="1">
      <protection hidden="1"/>
    </xf>
    <xf numFmtId="164" fontId="64" fillId="2" borderId="3" xfId="0" applyFont="1" applyFill="1" applyBorder="1" applyProtection="1">
      <protection hidden="1"/>
    </xf>
    <xf numFmtId="164" fontId="64" fillId="2" borderId="0" xfId="0" applyFont="1" applyFill="1" applyProtection="1">
      <protection hidden="1"/>
    </xf>
    <xf numFmtId="164" fontId="57" fillId="0" borderId="59" xfId="0" applyFont="1" applyBorder="1" applyProtection="1">
      <protection hidden="1"/>
    </xf>
    <xf numFmtId="174" fontId="11" fillId="2" borderId="0" xfId="0" applyNumberFormat="1" applyFont="1" applyFill="1" applyAlignment="1" applyProtection="1">
      <alignment horizontal="center"/>
      <protection hidden="1"/>
    </xf>
    <xf numFmtId="164" fontId="10" fillId="4" borderId="16" xfId="0" applyFont="1" applyFill="1" applyBorder="1" applyProtection="1">
      <protection hidden="1"/>
    </xf>
    <xf numFmtId="173" fontId="11" fillId="2" borderId="2" xfId="0" applyNumberFormat="1" applyFont="1" applyFill="1" applyBorder="1" applyAlignment="1" applyProtection="1">
      <alignment horizontal="center"/>
      <protection hidden="1"/>
    </xf>
    <xf numFmtId="173" fontId="11" fillId="4" borderId="2" xfId="0" applyNumberFormat="1" applyFont="1" applyFill="1" applyBorder="1" applyAlignment="1" applyProtection="1">
      <alignment horizontal="center"/>
      <protection hidden="1"/>
    </xf>
    <xf numFmtId="173" fontId="11" fillId="0" borderId="0" xfId="0" applyNumberFormat="1" applyFont="1" applyAlignment="1" applyProtection="1">
      <alignment horizontal="center"/>
      <protection hidden="1"/>
    </xf>
    <xf numFmtId="173" fontId="11" fillId="0" borderId="59" xfId="0" applyNumberFormat="1" applyFont="1" applyBorder="1" applyAlignment="1" applyProtection="1">
      <alignment horizontal="center"/>
      <protection hidden="1"/>
    </xf>
    <xf numFmtId="173" fontId="11" fillId="2" borderId="0" xfId="0" applyNumberFormat="1" applyFont="1" applyFill="1" applyAlignment="1" applyProtection="1">
      <alignment horizontal="center"/>
      <protection hidden="1"/>
    </xf>
    <xf numFmtId="164" fontId="11" fillId="5" borderId="3" xfId="0" applyFont="1" applyFill="1" applyBorder="1" applyProtection="1">
      <protection hidden="1"/>
    </xf>
    <xf numFmtId="164" fontId="11" fillId="5" borderId="69" xfId="0" applyFont="1" applyFill="1" applyBorder="1" applyProtection="1">
      <protection hidden="1"/>
    </xf>
    <xf numFmtId="164" fontId="60" fillId="0" borderId="10" xfId="0" applyFont="1" applyBorder="1" applyAlignment="1" applyProtection="1">
      <alignment horizontal="left"/>
      <protection hidden="1"/>
    </xf>
    <xf numFmtId="164" fontId="57" fillId="0" borderId="7" xfId="0" applyFont="1" applyBorder="1" applyAlignment="1" applyProtection="1">
      <alignment horizontal="left"/>
      <protection hidden="1"/>
    </xf>
    <xf numFmtId="164" fontId="57" fillId="0" borderId="12" xfId="0" applyFont="1" applyBorder="1" applyAlignment="1" applyProtection="1">
      <alignment horizontal="left"/>
      <protection hidden="1"/>
    </xf>
    <xf numFmtId="164" fontId="57" fillId="0" borderId="0" xfId="0" applyFont="1" applyAlignment="1" applyProtection="1">
      <alignment horizontal="left" wrapText="1"/>
      <protection hidden="1"/>
    </xf>
    <xf numFmtId="164" fontId="60" fillId="0" borderId="12" xfId="0" applyFont="1" applyBorder="1" applyAlignment="1" applyProtection="1">
      <alignment horizontal="left"/>
      <protection hidden="1"/>
    </xf>
    <xf numFmtId="164" fontId="57" fillId="0" borderId="0" xfId="0" applyFont="1" applyAlignment="1" applyProtection="1">
      <alignment horizontal="left" indent="1"/>
      <protection hidden="1"/>
    </xf>
    <xf numFmtId="164" fontId="44" fillId="0" borderId="57" xfId="0" applyFont="1" applyBorder="1" applyProtection="1">
      <protection hidden="1"/>
    </xf>
    <xf numFmtId="164" fontId="57" fillId="0" borderId="8" xfId="0" applyFont="1" applyBorder="1" applyProtection="1">
      <protection hidden="1"/>
    </xf>
    <xf numFmtId="164" fontId="11" fillId="4" borderId="16" xfId="0" applyFont="1" applyFill="1" applyBorder="1" applyAlignment="1" applyProtection="1">
      <alignment horizontal="left"/>
      <protection hidden="1"/>
    </xf>
    <xf numFmtId="2" fontId="31" fillId="2" borderId="0" xfId="0" applyNumberFormat="1" applyFont="1" applyFill="1" applyProtection="1">
      <protection hidden="1"/>
    </xf>
    <xf numFmtId="164" fontId="16" fillId="0" borderId="0" xfId="0" applyFont="1" applyAlignment="1" applyProtection="1">
      <alignment horizontal="center"/>
      <protection hidden="1"/>
    </xf>
    <xf numFmtId="1" fontId="15" fillId="2" borderId="51" xfId="0" applyNumberFormat="1" applyFont="1" applyFill="1" applyBorder="1" applyAlignment="1" applyProtection="1">
      <alignment horizontal="center"/>
      <protection locked="0" hidden="1"/>
    </xf>
    <xf numFmtId="174" fontId="11" fillId="0" borderId="43" xfId="0" applyNumberFormat="1" applyFont="1" applyBorder="1" applyAlignment="1" applyProtection="1">
      <alignment horizontal="center"/>
      <protection hidden="1"/>
    </xf>
    <xf numFmtId="174" fontId="11" fillId="0" borderId="60" xfId="0" applyNumberFormat="1" applyFont="1" applyBorder="1" applyAlignment="1" applyProtection="1">
      <alignment horizontal="center"/>
      <protection hidden="1"/>
    </xf>
    <xf numFmtId="164" fontId="17" fillId="0" borderId="0" xfId="0" applyFont="1" applyAlignment="1" applyProtection="1">
      <alignment horizontal="justify" vertical="top" wrapText="1"/>
      <protection hidden="1"/>
    </xf>
    <xf numFmtId="164" fontId="26" fillId="4" borderId="16" xfId="0" applyFont="1" applyFill="1" applyBorder="1" applyAlignment="1" applyProtection="1">
      <alignment horizontal="left"/>
      <protection hidden="1"/>
    </xf>
    <xf numFmtId="164" fontId="26" fillId="4" borderId="68" xfId="0" applyFont="1" applyFill="1" applyBorder="1" applyAlignment="1" applyProtection="1">
      <alignment horizontal="left"/>
      <protection hidden="1"/>
    </xf>
    <xf numFmtId="164" fontId="11" fillId="4" borderId="49" xfId="0" applyFont="1" applyFill="1" applyBorder="1" applyAlignment="1" applyProtection="1">
      <alignment horizontal="left"/>
      <protection hidden="1"/>
    </xf>
    <xf numFmtId="164" fontId="11" fillId="4" borderId="2" xfId="0" applyFont="1" applyFill="1" applyBorder="1" applyAlignment="1" applyProtection="1">
      <alignment horizontal="left"/>
      <protection hidden="1"/>
    </xf>
    <xf numFmtId="49" fontId="25" fillId="2" borderId="0" xfId="0" applyNumberFormat="1" applyFont="1" applyFill="1" applyProtection="1">
      <protection hidden="1"/>
    </xf>
    <xf numFmtId="49" fontId="26" fillId="4" borderId="10" xfId="0" applyNumberFormat="1" applyFont="1" applyFill="1" applyBorder="1" applyProtection="1">
      <protection hidden="1"/>
    </xf>
    <xf numFmtId="49" fontId="26" fillId="4" borderId="57" xfId="0" applyNumberFormat="1" applyFont="1" applyFill="1" applyBorder="1" applyProtection="1">
      <protection hidden="1"/>
    </xf>
    <xf numFmtId="49" fontId="26" fillId="4" borderId="65" xfId="0" applyNumberFormat="1" applyFont="1" applyFill="1" applyBorder="1" applyAlignment="1" applyProtection="1">
      <alignment horizontal="center"/>
      <protection hidden="1"/>
    </xf>
    <xf numFmtId="49" fontId="26" fillId="4" borderId="70" xfId="0" applyNumberFormat="1" applyFont="1" applyFill="1" applyBorder="1" applyAlignment="1" applyProtection="1">
      <alignment horizontal="center"/>
      <protection hidden="1"/>
    </xf>
    <xf numFmtId="49" fontId="26" fillId="4" borderId="24" xfId="0" applyNumberFormat="1" applyFont="1" applyFill="1" applyBorder="1" applyAlignment="1" applyProtection="1">
      <alignment horizontal="center"/>
      <protection hidden="1"/>
    </xf>
    <xf numFmtId="49" fontId="26" fillId="4" borderId="12" xfId="0" applyNumberFormat="1" applyFont="1" applyFill="1" applyBorder="1" applyAlignment="1" applyProtection="1">
      <alignment horizontal="center"/>
      <protection hidden="1"/>
    </xf>
    <xf numFmtId="49" fontId="26" fillId="4" borderId="57" xfId="0" applyNumberFormat="1" applyFont="1" applyFill="1" applyBorder="1" applyAlignment="1" applyProtection="1">
      <alignment horizontal="center"/>
      <protection hidden="1"/>
    </xf>
    <xf numFmtId="49" fontId="26" fillId="4" borderId="10" xfId="0" applyNumberFormat="1" applyFont="1" applyFill="1" applyBorder="1" applyAlignment="1" applyProtection="1">
      <alignment horizontal="center"/>
      <protection hidden="1"/>
    </xf>
    <xf numFmtId="49" fontId="26" fillId="4" borderId="70" xfId="0" applyNumberFormat="1" applyFont="1" applyFill="1" applyBorder="1" applyAlignment="1" applyProtection="1">
      <alignment horizontal="center" vertical="center"/>
      <protection hidden="1"/>
    </xf>
    <xf numFmtId="49" fontId="26" fillId="4" borderId="41" xfId="0" applyNumberFormat="1" applyFont="1" applyFill="1" applyBorder="1" applyAlignment="1" applyProtection="1">
      <alignment horizontal="center"/>
      <protection hidden="1"/>
    </xf>
    <xf numFmtId="49" fontId="26" fillId="4" borderId="42" xfId="0" applyNumberFormat="1" applyFont="1" applyFill="1" applyBorder="1" applyAlignment="1" applyProtection="1">
      <alignment horizontal="center"/>
      <protection hidden="1"/>
    </xf>
    <xf numFmtId="49" fontId="25" fillId="2" borderId="0" xfId="0" applyNumberFormat="1" applyFont="1" applyFill="1" applyAlignment="1" applyProtection="1">
      <alignment horizontal="center"/>
      <protection hidden="1"/>
    </xf>
    <xf numFmtId="49" fontId="25" fillId="0" borderId="0" xfId="0" applyNumberFormat="1" applyFont="1" applyProtection="1">
      <protection hidden="1"/>
    </xf>
    <xf numFmtId="49" fontId="25" fillId="0" borderId="0" xfId="0" applyNumberFormat="1" applyFont="1" applyAlignment="1" applyProtection="1">
      <alignment horizontal="center"/>
      <protection hidden="1"/>
    </xf>
    <xf numFmtId="49" fontId="25" fillId="0" borderId="0" xfId="0" applyNumberFormat="1" applyFont="1" applyAlignment="1" applyProtection="1">
      <alignment horizontal="left"/>
      <protection hidden="1"/>
    </xf>
    <xf numFmtId="49" fontId="25" fillId="6" borderId="0" xfId="0" applyNumberFormat="1" applyFont="1" applyFill="1" applyProtection="1">
      <protection hidden="1"/>
    </xf>
    <xf numFmtId="49" fontId="25" fillId="6" borderId="0" xfId="0" applyNumberFormat="1" applyFont="1" applyFill="1" applyAlignment="1" applyProtection="1">
      <alignment horizontal="left"/>
      <protection hidden="1"/>
    </xf>
    <xf numFmtId="49" fontId="25" fillId="6" borderId="0" xfId="0" applyNumberFormat="1" applyFont="1" applyFill="1" applyAlignment="1" applyProtection="1">
      <alignment horizontal="center"/>
      <protection hidden="1"/>
    </xf>
    <xf numFmtId="49" fontId="25" fillId="7" borderId="0" xfId="0" applyNumberFormat="1" applyFont="1" applyFill="1" applyAlignment="1" applyProtection="1">
      <alignment horizontal="center"/>
      <protection hidden="1"/>
    </xf>
    <xf numFmtId="164" fontId="11" fillId="0" borderId="0" xfId="0" applyFont="1" applyAlignment="1" applyProtection="1">
      <alignment horizontal="left" wrapText="1"/>
      <protection hidden="1"/>
    </xf>
    <xf numFmtId="164" fontId="67" fillId="0" borderId="0" xfId="0" applyFont="1" applyProtection="1">
      <protection hidden="1"/>
    </xf>
    <xf numFmtId="164" fontId="67" fillId="0" borderId="0" xfId="0" quotePrefix="1" applyFont="1" applyAlignment="1" applyProtection="1">
      <alignment vertical="top"/>
      <protection hidden="1"/>
    </xf>
    <xf numFmtId="164" fontId="67" fillId="0" borderId="0" xfId="0" quotePrefix="1" applyFont="1" applyProtection="1">
      <protection hidden="1"/>
    </xf>
    <xf numFmtId="164" fontId="10" fillId="0" borderId="0" xfId="0" applyFont="1" applyAlignment="1" applyProtection="1">
      <alignment horizontal="center"/>
      <protection hidden="1"/>
    </xf>
    <xf numFmtId="164" fontId="61" fillId="0" borderId="0" xfId="0" applyFont="1" applyAlignment="1" applyProtection="1">
      <alignment horizontal="center"/>
      <protection hidden="1"/>
    </xf>
    <xf numFmtId="164" fontId="0" fillId="0" borderId="0" xfId="0" applyAlignment="1">
      <alignment wrapText="1"/>
    </xf>
    <xf numFmtId="164" fontId="11" fillId="0" borderId="0" xfId="0" applyFont="1" applyAlignment="1" applyProtection="1">
      <alignment horizontal="center" vertical="center"/>
      <protection hidden="1"/>
    </xf>
    <xf numFmtId="164" fontId="11" fillId="0" borderId="0" xfId="0" applyFont="1" applyAlignment="1" applyProtection="1">
      <alignment horizontal="left" vertical="center"/>
      <protection hidden="1"/>
    </xf>
    <xf numFmtId="164" fontId="15" fillId="0" borderId="0" xfId="0" applyFont="1" applyAlignment="1" applyProtection="1">
      <alignment horizontal="left" vertical="center" indent="1"/>
      <protection hidden="1"/>
    </xf>
    <xf numFmtId="164" fontId="15" fillId="0" borderId="0" xfId="0" applyFont="1" applyAlignment="1" applyProtection="1">
      <alignment horizontal="left" vertical="center"/>
      <protection hidden="1"/>
    </xf>
    <xf numFmtId="164" fontId="14" fillId="5" borderId="0" xfId="0" applyFont="1" applyFill="1" applyAlignment="1" applyProtection="1">
      <alignment horizontal="left" indent="1"/>
      <protection hidden="1"/>
    </xf>
    <xf numFmtId="164" fontId="15" fillId="0" borderId="0" xfId="0" applyFont="1" applyAlignment="1" applyProtection="1">
      <alignment horizontal="left" indent="1"/>
      <protection hidden="1"/>
    </xf>
    <xf numFmtId="164" fontId="0" fillId="0" borderId="0" xfId="0" applyAlignment="1">
      <alignment horizontal="center" wrapText="1"/>
    </xf>
    <xf numFmtId="164" fontId="15" fillId="0" borderId="0" xfId="0" applyFont="1" applyProtection="1">
      <protection hidden="1"/>
    </xf>
    <xf numFmtId="164" fontId="43" fillId="0" borderId="0" xfId="0" applyFont="1" applyAlignment="1" applyProtection="1">
      <alignment wrapText="1"/>
      <protection hidden="1"/>
    </xf>
    <xf numFmtId="164" fontId="15" fillId="0" borderId="0" xfId="0" applyFont="1" applyAlignment="1" applyProtection="1">
      <alignment horizontal="left"/>
      <protection hidden="1"/>
    </xf>
    <xf numFmtId="164" fontId="15" fillId="0" borderId="0" xfId="0" applyFont="1" applyAlignment="1" applyProtection="1">
      <alignment horizontal="left" wrapText="1" indent="1"/>
      <protection hidden="1"/>
    </xf>
    <xf numFmtId="164" fontId="15" fillId="0" borderId="0" xfId="0" applyFont="1" applyAlignment="1" applyProtection="1">
      <alignment wrapText="1"/>
      <protection hidden="1"/>
    </xf>
    <xf numFmtId="164" fontId="43" fillId="0" borderId="0" xfId="0" applyFont="1" applyAlignment="1" applyProtection="1">
      <alignment horizontal="left"/>
      <protection hidden="1"/>
    </xf>
    <xf numFmtId="164" fontId="17" fillId="0" borderId="0" xfId="0" applyFont="1" applyAlignment="1" applyProtection="1">
      <alignment horizontal="left" vertical="top"/>
      <protection hidden="1"/>
    </xf>
    <xf numFmtId="164" fontId="17" fillId="0" borderId="0" xfId="0" applyFont="1" applyAlignment="1" applyProtection="1">
      <alignment horizontal="justify" vertical="top"/>
      <protection hidden="1"/>
    </xf>
    <xf numFmtId="164" fontId="58" fillId="0" borderId="0" xfId="0" applyFont="1" applyAlignment="1" applyProtection="1">
      <alignment vertical="top"/>
      <protection hidden="1"/>
    </xf>
    <xf numFmtId="164" fontId="22" fillId="0" borderId="0" xfId="0" applyFont="1" applyAlignment="1" applyProtection="1">
      <alignment vertical="top"/>
      <protection hidden="1"/>
    </xf>
    <xf numFmtId="164" fontId="70" fillId="0" borderId="0" xfId="0" applyFont="1" applyAlignment="1" applyProtection="1">
      <alignment horizontal="right" vertical="top"/>
      <protection hidden="1"/>
    </xf>
    <xf numFmtId="164" fontId="22" fillId="0" borderId="0" xfId="0" applyFont="1" applyAlignment="1">
      <alignment vertical="top" wrapText="1"/>
    </xf>
    <xf numFmtId="164" fontId="71" fillId="0" borderId="0" xfId="0" applyFont="1" applyAlignment="1" applyProtection="1">
      <alignment vertical="top"/>
      <protection hidden="1"/>
    </xf>
    <xf numFmtId="174" fontId="11" fillId="4" borderId="16" xfId="0" applyNumberFormat="1" applyFont="1" applyFill="1" applyBorder="1" applyAlignment="1" applyProtection="1">
      <alignment horizontal="center"/>
      <protection hidden="1"/>
    </xf>
    <xf numFmtId="173" fontId="11" fillId="2" borderId="18" xfId="0" applyNumberFormat="1" applyFont="1" applyFill="1" applyBorder="1" applyAlignment="1" applyProtection="1">
      <alignment horizontal="center"/>
      <protection hidden="1"/>
    </xf>
    <xf numFmtId="173" fontId="11" fillId="2" borderId="52" xfId="0" applyNumberFormat="1" applyFont="1" applyFill="1" applyBorder="1" applyAlignment="1" applyProtection="1">
      <alignment horizontal="center"/>
      <protection hidden="1"/>
    </xf>
    <xf numFmtId="173" fontId="11" fillId="2" borderId="3" xfId="0" applyNumberFormat="1" applyFont="1" applyFill="1" applyBorder="1" applyAlignment="1" applyProtection="1">
      <alignment horizontal="center"/>
      <protection hidden="1"/>
    </xf>
    <xf numFmtId="173" fontId="11" fillId="2" borderId="43" xfId="0" applyNumberFormat="1" applyFont="1" applyFill="1" applyBorder="1" applyAlignment="1" applyProtection="1">
      <alignment horizontal="center"/>
      <protection hidden="1"/>
    </xf>
    <xf numFmtId="164" fontId="11" fillId="5" borderId="16" xfId="0" applyFont="1" applyFill="1" applyBorder="1" applyAlignment="1" applyProtection="1">
      <alignment horizontal="left"/>
      <protection hidden="1"/>
    </xf>
    <xf numFmtId="174" fontId="11" fillId="8" borderId="2" xfId="0" applyNumberFormat="1" applyFont="1" applyFill="1" applyBorder="1" applyAlignment="1" applyProtection="1">
      <alignment horizontal="center"/>
      <protection hidden="1"/>
    </xf>
    <xf numFmtId="164" fontId="60" fillId="0" borderId="3" xfId="0" applyFont="1" applyBorder="1" applyAlignment="1" applyProtection="1">
      <alignment horizontal="left"/>
      <protection hidden="1"/>
    </xf>
    <xf numFmtId="164" fontId="14" fillId="5" borderId="16" xfId="0" applyFont="1" applyFill="1" applyBorder="1" applyAlignment="1" applyProtection="1">
      <alignment horizontal="left"/>
      <protection hidden="1"/>
    </xf>
    <xf numFmtId="174" fontId="14" fillId="5" borderId="2" xfId="0" applyNumberFormat="1" applyFont="1" applyFill="1" applyBorder="1" applyAlignment="1" applyProtection="1">
      <alignment horizontal="center"/>
      <protection hidden="1"/>
    </xf>
    <xf numFmtId="164" fontId="11" fillId="5" borderId="2" xfId="0" applyFont="1" applyFill="1" applyBorder="1" applyAlignment="1" applyProtection="1">
      <alignment horizontal="left"/>
      <protection hidden="1"/>
    </xf>
    <xf numFmtId="1" fontId="15" fillId="0" borderId="29" xfId="0" applyNumberFormat="1" applyFont="1" applyBorder="1" applyAlignment="1" applyProtection="1">
      <alignment horizontal="center"/>
      <protection locked="0" hidden="1"/>
    </xf>
    <xf numFmtId="9" fontId="15" fillId="0" borderId="2" xfId="0" applyNumberFormat="1" applyFont="1" applyBorder="1" applyAlignment="1" applyProtection="1">
      <alignment horizontal="center"/>
      <protection locked="0"/>
    </xf>
    <xf numFmtId="1" fontId="15" fillId="0" borderId="71" xfId="0" applyNumberFormat="1" applyFont="1" applyBorder="1" applyAlignment="1" applyProtection="1">
      <alignment horizontal="center"/>
      <protection locked="0"/>
    </xf>
    <xf numFmtId="1" fontId="15" fillId="0" borderId="72" xfId="0" applyNumberFormat="1" applyFont="1" applyBorder="1" applyAlignment="1" applyProtection="1">
      <alignment horizontal="center"/>
      <protection locked="0"/>
    </xf>
    <xf numFmtId="1" fontId="15" fillId="0" borderId="51" xfId="0" applyNumberFormat="1" applyFont="1" applyBorder="1" applyAlignment="1" applyProtection="1">
      <alignment horizontal="center"/>
      <protection locked="0"/>
    </xf>
    <xf numFmtId="1" fontId="15" fillId="0" borderId="73" xfId="0" applyNumberFormat="1" applyFont="1" applyBorder="1" applyAlignment="1" applyProtection="1">
      <alignment horizontal="center"/>
      <protection locked="0"/>
    </xf>
    <xf numFmtId="1" fontId="15" fillId="0" borderId="74" xfId="0" applyNumberFormat="1" applyFont="1" applyBorder="1" applyAlignment="1" applyProtection="1">
      <alignment horizontal="center"/>
      <protection locked="0"/>
    </xf>
    <xf numFmtId="1" fontId="15" fillId="0" borderId="44" xfId="0" applyNumberFormat="1" applyFont="1" applyBorder="1" applyAlignment="1" applyProtection="1">
      <alignment horizontal="center"/>
      <protection locked="0"/>
    </xf>
    <xf numFmtId="1" fontId="15" fillId="0" borderId="29" xfId="0" applyNumberFormat="1" applyFont="1" applyBorder="1" applyAlignment="1" applyProtection="1">
      <alignment horizontal="center"/>
      <protection locked="0"/>
    </xf>
    <xf numFmtId="164" fontId="26" fillId="4" borderId="43" xfId="0" applyFont="1" applyFill="1" applyBorder="1" applyAlignment="1">
      <alignment horizontal="left" vertical="center"/>
    </xf>
    <xf numFmtId="172" fontId="15" fillId="0" borderId="75" xfId="0" applyNumberFormat="1" applyFont="1" applyBorder="1" applyAlignment="1" applyProtection="1">
      <alignment horizontal="center"/>
      <protection locked="0"/>
    </xf>
    <xf numFmtId="1" fontId="15" fillId="0" borderId="6" xfId="0" applyNumberFormat="1" applyFont="1" applyBorder="1" applyAlignment="1" applyProtection="1">
      <alignment horizontal="center"/>
      <protection locked="0"/>
    </xf>
    <xf numFmtId="172" fontId="15" fillId="0" borderId="30" xfId="0" applyNumberFormat="1" applyFont="1" applyBorder="1" applyAlignment="1" applyProtection="1">
      <alignment horizontal="center"/>
      <protection locked="0"/>
    </xf>
    <xf numFmtId="172" fontId="15" fillId="0" borderId="2" xfId="0" applyNumberFormat="1" applyFont="1" applyBorder="1" applyAlignment="1" applyProtection="1">
      <alignment horizontal="center"/>
      <protection locked="0"/>
    </xf>
    <xf numFmtId="164" fontId="11" fillId="5" borderId="2" xfId="0" applyFont="1" applyFill="1" applyBorder="1" applyProtection="1">
      <protection locked="0"/>
    </xf>
    <xf numFmtId="174" fontId="11" fillId="5" borderId="2" xfId="0" applyNumberFormat="1" applyFont="1" applyFill="1" applyBorder="1" applyAlignment="1" applyProtection="1">
      <alignment horizontal="center"/>
      <protection locked="0"/>
    </xf>
    <xf numFmtId="173" fontId="11" fillId="5" borderId="2" xfId="0" applyNumberFormat="1" applyFont="1" applyFill="1" applyBorder="1" applyAlignment="1" applyProtection="1">
      <alignment horizontal="center"/>
      <protection locked="0"/>
    </xf>
    <xf numFmtId="174" fontId="11" fillId="5" borderId="16" xfId="0" applyNumberFormat="1" applyFont="1" applyFill="1" applyBorder="1" applyAlignment="1" applyProtection="1">
      <alignment horizontal="center"/>
      <protection locked="0"/>
    </xf>
    <xf numFmtId="2" fontId="11" fillId="5" borderId="2" xfId="0" applyNumberFormat="1" applyFont="1" applyFill="1" applyBorder="1" applyAlignment="1" applyProtection="1">
      <alignment horizontal="center"/>
      <protection locked="0"/>
    </xf>
    <xf numFmtId="1" fontId="11" fillId="5" borderId="2" xfId="0" applyNumberFormat="1" applyFont="1" applyFill="1" applyBorder="1" applyAlignment="1" applyProtection="1">
      <alignment horizontal="center"/>
      <protection locked="0"/>
    </xf>
    <xf numFmtId="1" fontId="11" fillId="5" borderId="68" xfId="0" applyNumberFormat="1" applyFont="1" applyFill="1" applyBorder="1" applyAlignment="1" applyProtection="1">
      <alignment horizontal="center"/>
      <protection locked="0"/>
    </xf>
    <xf numFmtId="1" fontId="11" fillId="8" borderId="2" xfId="0" applyNumberFormat="1" applyFont="1" applyFill="1" applyBorder="1" applyAlignment="1" applyProtection="1">
      <alignment horizontal="left"/>
      <protection locked="0"/>
    </xf>
    <xf numFmtId="164" fontId="11" fillId="8" borderId="2" xfId="0" applyFont="1" applyFill="1" applyBorder="1" applyAlignment="1" applyProtection="1">
      <alignment horizontal="center"/>
      <protection locked="0"/>
    </xf>
    <xf numFmtId="1" fontId="15" fillId="8" borderId="2" xfId="0" applyNumberFormat="1" applyFont="1" applyFill="1" applyBorder="1" applyAlignment="1" applyProtection="1">
      <alignment horizontal="center" vertical="center" wrapText="1"/>
      <protection locked="0"/>
    </xf>
    <xf numFmtId="1" fontId="15" fillId="8" borderId="5" xfId="0" applyNumberFormat="1" applyFont="1" applyFill="1" applyBorder="1" applyAlignment="1" applyProtection="1">
      <alignment horizontal="center" vertical="center" wrapText="1"/>
      <protection locked="0"/>
    </xf>
    <xf numFmtId="1" fontId="11" fillId="8" borderId="6" xfId="0" applyNumberFormat="1" applyFont="1" applyFill="1" applyBorder="1" applyAlignment="1" applyProtection="1">
      <alignment horizontal="left"/>
      <protection locked="0"/>
    </xf>
    <xf numFmtId="1" fontId="15" fillId="8" borderId="6" xfId="0" applyNumberFormat="1" applyFont="1" applyFill="1" applyBorder="1" applyAlignment="1" applyProtection="1">
      <alignment horizontal="center" vertical="center" wrapText="1"/>
      <protection locked="0"/>
    </xf>
    <xf numFmtId="1" fontId="15" fillId="8" borderId="29" xfId="0" applyNumberFormat="1" applyFont="1" applyFill="1" applyBorder="1" applyAlignment="1" applyProtection="1">
      <alignment horizontal="center" vertical="center" wrapText="1"/>
      <protection locked="0"/>
    </xf>
    <xf numFmtId="1" fontId="15" fillId="8" borderId="30" xfId="0" applyNumberFormat="1" applyFont="1" applyFill="1" applyBorder="1" applyAlignment="1" applyProtection="1">
      <alignment horizontal="left" vertical="center"/>
      <protection locked="0"/>
    </xf>
    <xf numFmtId="164" fontId="11" fillId="8" borderId="38" xfId="0" applyFont="1" applyFill="1" applyBorder="1" applyAlignment="1" applyProtection="1">
      <alignment horizontal="center"/>
      <protection locked="0"/>
    </xf>
    <xf numFmtId="1" fontId="15" fillId="8" borderId="2" xfId="0" applyNumberFormat="1" applyFont="1" applyFill="1" applyBorder="1" applyAlignment="1" applyProtection="1">
      <alignment horizontal="left" vertical="center"/>
      <protection locked="0"/>
    </xf>
    <xf numFmtId="164" fontId="11" fillId="8" borderId="5" xfId="0" applyFont="1" applyFill="1" applyBorder="1" applyAlignment="1" applyProtection="1">
      <alignment horizontal="center"/>
      <protection locked="0"/>
    </xf>
    <xf numFmtId="1" fontId="15" fillId="8" borderId="6" xfId="0" applyNumberFormat="1" applyFont="1" applyFill="1" applyBorder="1" applyAlignment="1" applyProtection="1">
      <alignment horizontal="left" vertical="center"/>
      <protection locked="0"/>
    </xf>
    <xf numFmtId="164" fontId="11" fillId="8" borderId="29" xfId="0" applyFont="1" applyFill="1" applyBorder="1" applyAlignment="1" applyProtection="1">
      <alignment horizontal="center"/>
      <protection locked="0"/>
    </xf>
    <xf numFmtId="164" fontId="31" fillId="2" borderId="0" xfId="0" applyFont="1" applyFill="1" applyProtection="1">
      <protection locked="0" hidden="1"/>
    </xf>
    <xf numFmtId="0" fontId="31" fillId="2" borderId="0" xfId="0" applyNumberFormat="1" applyFont="1" applyFill="1" applyProtection="1">
      <protection locked="0" hidden="1"/>
    </xf>
    <xf numFmtId="164" fontId="10" fillId="5" borderId="13" xfId="0" applyFont="1" applyFill="1" applyBorder="1" applyAlignment="1" applyProtection="1">
      <alignment horizontal="left" vertical="center"/>
      <protection hidden="1"/>
    </xf>
    <xf numFmtId="0" fontId="11" fillId="4" borderId="17" xfId="0" applyNumberFormat="1" applyFont="1" applyFill="1" applyBorder="1" applyAlignment="1" applyProtection="1">
      <alignment horizontal="center" vertical="center"/>
      <protection hidden="1"/>
    </xf>
    <xf numFmtId="164" fontId="56" fillId="0" borderId="7" xfId="0" applyFont="1" applyBorder="1" applyProtection="1">
      <protection hidden="1"/>
    </xf>
    <xf numFmtId="164" fontId="56" fillId="0" borderId="0" xfId="0" applyFont="1" applyProtection="1">
      <protection hidden="1"/>
    </xf>
    <xf numFmtId="164" fontId="56" fillId="0" borderId="8" xfId="0" applyFont="1" applyBorder="1" applyProtection="1">
      <protection hidden="1"/>
    </xf>
    <xf numFmtId="164" fontId="11" fillId="5" borderId="57" xfId="0" applyFont="1" applyFill="1" applyBorder="1" applyProtection="1">
      <protection hidden="1"/>
    </xf>
    <xf numFmtId="164" fontId="11" fillId="5" borderId="8" xfId="0" applyFont="1" applyFill="1" applyBorder="1" applyProtection="1">
      <protection hidden="1"/>
    </xf>
    <xf numFmtId="164" fontId="11" fillId="5" borderId="58" xfId="0" applyFont="1" applyFill="1" applyBorder="1" applyProtection="1">
      <protection hidden="1"/>
    </xf>
    <xf numFmtId="164" fontId="15" fillId="4" borderId="4" xfId="0" applyFont="1" applyFill="1" applyBorder="1" applyAlignment="1" applyProtection="1">
      <alignment horizontal="center" vertical="center" wrapText="1"/>
      <protection hidden="1"/>
    </xf>
    <xf numFmtId="164" fontId="11" fillId="4" borderId="39" xfId="0" applyFont="1" applyFill="1" applyBorder="1" applyAlignment="1" applyProtection="1">
      <alignment horizontal="center" vertical="center" wrapText="1"/>
      <protection hidden="1"/>
    </xf>
    <xf numFmtId="164" fontId="11" fillId="3" borderId="76" xfId="0" applyFont="1" applyFill="1" applyBorder="1" applyAlignment="1" applyProtection="1">
      <alignment horizontal="center"/>
      <protection hidden="1"/>
    </xf>
    <xf numFmtId="164" fontId="11" fillId="3" borderId="67" xfId="0" applyFont="1" applyFill="1" applyBorder="1" applyAlignment="1" applyProtection="1">
      <alignment horizontal="center"/>
      <protection hidden="1"/>
    </xf>
    <xf numFmtId="164" fontId="11" fillId="4" borderId="71" xfId="0" applyFont="1" applyFill="1" applyBorder="1" applyAlignment="1" applyProtection="1">
      <alignment horizontal="center" vertical="center" wrapText="1"/>
      <protection hidden="1"/>
    </xf>
    <xf numFmtId="164" fontId="11" fillId="3" borderId="72" xfId="0" applyFont="1" applyFill="1" applyBorder="1" applyAlignment="1" applyProtection="1">
      <alignment horizontal="center"/>
      <protection hidden="1"/>
    </xf>
    <xf numFmtId="164" fontId="11" fillId="3" borderId="51" xfId="0" applyFont="1" applyFill="1" applyBorder="1" applyAlignment="1" applyProtection="1">
      <alignment horizontal="center"/>
      <protection hidden="1"/>
    </xf>
    <xf numFmtId="164" fontId="11" fillId="0" borderId="0" xfId="0" applyFont="1"/>
    <xf numFmtId="164" fontId="75" fillId="4" borderId="41" xfId="0" applyFont="1" applyFill="1" applyBorder="1" applyAlignment="1" applyProtection="1">
      <alignment horizontal="center"/>
      <protection hidden="1"/>
    </xf>
    <xf numFmtId="164" fontId="75" fillId="4" borderId="14" xfId="0" applyFont="1" applyFill="1" applyBorder="1" applyAlignment="1" applyProtection="1">
      <alignment horizontal="center"/>
      <protection hidden="1"/>
    </xf>
    <xf numFmtId="164" fontId="74" fillId="4" borderId="14" xfId="0" applyFont="1" applyFill="1" applyBorder="1" applyProtection="1">
      <protection hidden="1"/>
    </xf>
    <xf numFmtId="1" fontId="74" fillId="4" borderId="15" xfId="0" applyNumberFormat="1" applyFont="1" applyFill="1" applyBorder="1" applyProtection="1">
      <protection hidden="1"/>
    </xf>
    <xf numFmtId="164" fontId="11" fillId="0" borderId="26" xfId="0" applyFont="1" applyBorder="1" applyProtection="1">
      <protection hidden="1"/>
    </xf>
    <xf numFmtId="164" fontId="11" fillId="0" borderId="4" xfId="0" applyFont="1" applyBorder="1" applyProtection="1">
      <protection hidden="1"/>
    </xf>
    <xf numFmtId="164" fontId="11" fillId="2" borderId="4" xfId="0" applyFont="1" applyFill="1" applyBorder="1" applyProtection="1">
      <protection hidden="1"/>
    </xf>
    <xf numFmtId="164" fontId="11" fillId="0" borderId="9" xfId="0" applyFont="1" applyBorder="1" applyProtection="1">
      <protection hidden="1"/>
    </xf>
    <xf numFmtId="164" fontId="11" fillId="2" borderId="27" xfId="0" applyFont="1" applyFill="1" applyBorder="1" applyProtection="1">
      <protection hidden="1"/>
    </xf>
    <xf numFmtId="2" fontId="11" fillId="0" borderId="5" xfId="0" applyNumberFormat="1" applyFont="1" applyBorder="1" applyProtection="1">
      <protection hidden="1"/>
    </xf>
    <xf numFmtId="164" fontId="11" fillId="0" borderId="27" xfId="0" applyFont="1" applyBorder="1" applyProtection="1">
      <protection hidden="1"/>
    </xf>
    <xf numFmtId="164" fontId="11" fillId="2" borderId="12" xfId="0" applyFont="1" applyFill="1" applyBorder="1" applyProtection="1">
      <protection hidden="1"/>
    </xf>
    <xf numFmtId="164" fontId="11" fillId="0" borderId="27" xfId="0" applyFont="1" applyBorder="1" applyAlignment="1" applyProtection="1">
      <alignment horizontal="center"/>
      <protection hidden="1"/>
    </xf>
    <xf numFmtId="164" fontId="74" fillId="2" borderId="12" xfId="0" applyFont="1" applyFill="1" applyBorder="1" applyAlignment="1" applyProtection="1">
      <alignment horizontal="center"/>
      <protection hidden="1"/>
    </xf>
    <xf numFmtId="164" fontId="11" fillId="2" borderId="57" xfId="0" applyFont="1" applyFill="1" applyBorder="1" applyProtection="1">
      <protection hidden="1"/>
    </xf>
    <xf numFmtId="164" fontId="11" fillId="0" borderId="6" xfId="0" applyFont="1" applyBorder="1" applyProtection="1">
      <protection hidden="1"/>
    </xf>
    <xf numFmtId="2" fontId="11" fillId="0" borderId="6" xfId="0" applyNumberFormat="1" applyFont="1" applyBorder="1" applyProtection="1">
      <protection hidden="1"/>
    </xf>
    <xf numFmtId="2" fontId="11" fillId="0" borderId="29" xfId="0" applyNumberFormat="1" applyFont="1" applyBorder="1" applyProtection="1">
      <protection hidden="1"/>
    </xf>
    <xf numFmtId="2" fontId="11" fillId="3" borderId="27" xfId="0" applyNumberFormat="1" applyFont="1" applyFill="1" applyBorder="1" applyAlignment="1" applyProtection="1">
      <alignment horizontal="center"/>
      <protection hidden="1"/>
    </xf>
    <xf numFmtId="1" fontId="11" fillId="3" borderId="6" xfId="0" applyNumberFormat="1" applyFont="1" applyFill="1" applyBorder="1" applyProtection="1">
      <protection hidden="1"/>
    </xf>
    <xf numFmtId="1" fontId="11" fillId="3" borderId="29" xfId="0" applyNumberFormat="1" applyFont="1" applyFill="1" applyBorder="1" applyProtection="1">
      <protection hidden="1"/>
    </xf>
    <xf numFmtId="164" fontId="11" fillId="4" borderId="26" xfId="0" applyFont="1" applyFill="1" applyBorder="1" applyAlignment="1" applyProtection="1">
      <alignment horizontal="center" vertical="center" wrapText="1"/>
      <protection hidden="1"/>
    </xf>
    <xf numFmtId="164" fontId="26" fillId="4" borderId="41" xfId="0" applyFont="1" applyFill="1" applyBorder="1" applyAlignment="1" applyProtection="1">
      <alignment horizontal="center"/>
      <protection hidden="1"/>
    </xf>
    <xf numFmtId="164" fontId="76" fillId="0" borderId="0" xfId="0" applyFont="1"/>
    <xf numFmtId="1" fontId="26" fillId="4" borderId="50" xfId="0" applyNumberFormat="1" applyFont="1" applyFill="1" applyBorder="1" applyAlignment="1" applyProtection="1">
      <alignment horizontal="center"/>
      <protection hidden="1"/>
    </xf>
    <xf numFmtId="1" fontId="26" fillId="2" borderId="0" xfId="0" applyNumberFormat="1" applyFont="1" applyFill="1" applyAlignment="1" applyProtection="1">
      <alignment horizontal="center"/>
      <protection hidden="1"/>
    </xf>
    <xf numFmtId="1" fontId="26" fillId="2" borderId="0" xfId="0" applyNumberFormat="1" applyFont="1" applyFill="1" applyProtection="1">
      <protection hidden="1"/>
    </xf>
    <xf numFmtId="164" fontId="26" fillId="2" borderId="0" xfId="0" applyFont="1" applyFill="1" applyAlignment="1" applyProtection="1">
      <alignment horizontal="center"/>
      <protection hidden="1"/>
    </xf>
    <xf numFmtId="164" fontId="76" fillId="2" borderId="0" xfId="0" applyFont="1" applyFill="1"/>
    <xf numFmtId="10" fontId="26" fillId="2" borderId="0" xfId="0" applyNumberFormat="1" applyFont="1" applyFill="1" applyAlignment="1" applyProtection="1">
      <alignment horizontal="center"/>
      <protection hidden="1"/>
    </xf>
    <xf numFmtId="10" fontId="26" fillId="2" borderId="0" xfId="0" applyNumberFormat="1" applyFont="1" applyFill="1" applyProtection="1">
      <protection hidden="1"/>
    </xf>
    <xf numFmtId="1" fontId="26" fillId="3" borderId="71" xfId="0" applyNumberFormat="1" applyFont="1" applyFill="1" applyBorder="1" applyAlignment="1" applyProtection="1">
      <alignment horizontal="center"/>
      <protection hidden="1"/>
    </xf>
    <xf numFmtId="1" fontId="26" fillId="3" borderId="72" xfId="0" applyNumberFormat="1" applyFont="1" applyFill="1" applyBorder="1" applyAlignment="1" applyProtection="1">
      <alignment horizontal="center"/>
      <protection hidden="1"/>
    </xf>
    <xf numFmtId="1" fontId="26" fillId="3" borderId="51" xfId="0" applyNumberFormat="1" applyFont="1" applyFill="1" applyBorder="1" applyAlignment="1" applyProtection="1">
      <alignment horizontal="center"/>
      <protection hidden="1"/>
    </xf>
    <xf numFmtId="164" fontId="26" fillId="0" borderId="71" xfId="0" applyFont="1" applyBorder="1" applyAlignment="1" applyProtection="1">
      <alignment horizontal="center"/>
      <protection locked="0"/>
    </xf>
    <xf numFmtId="164" fontId="26" fillId="0" borderId="51" xfId="0" applyFont="1" applyBorder="1" applyAlignment="1" applyProtection="1">
      <alignment horizontal="center"/>
      <protection locked="0"/>
    </xf>
    <xf numFmtId="10" fontId="26" fillId="2" borderId="36" xfId="0" applyNumberFormat="1" applyFont="1" applyFill="1" applyBorder="1" applyProtection="1">
      <protection hidden="1"/>
    </xf>
    <xf numFmtId="10" fontId="26" fillId="2" borderId="76" xfId="0" applyNumberFormat="1" applyFont="1" applyFill="1" applyBorder="1" applyProtection="1">
      <protection hidden="1"/>
    </xf>
    <xf numFmtId="10" fontId="26" fillId="2" borderId="77" xfId="0" applyNumberFormat="1" applyFont="1" applyFill="1" applyBorder="1" applyProtection="1">
      <protection hidden="1"/>
    </xf>
    <xf numFmtId="1" fontId="26" fillId="2" borderId="36" xfId="0" applyNumberFormat="1" applyFont="1" applyFill="1" applyBorder="1" applyProtection="1">
      <protection hidden="1"/>
    </xf>
    <xf numFmtId="1" fontId="26" fillId="2" borderId="76" xfId="0" applyNumberFormat="1" applyFont="1" applyFill="1" applyBorder="1" applyProtection="1">
      <protection hidden="1"/>
    </xf>
    <xf numFmtId="1" fontId="26" fillId="2" borderId="77" xfId="0" applyNumberFormat="1" applyFont="1" applyFill="1" applyBorder="1" applyProtection="1">
      <protection hidden="1"/>
    </xf>
    <xf numFmtId="1" fontId="15" fillId="0" borderId="78" xfId="0" applyNumberFormat="1" applyFont="1" applyBorder="1" applyAlignment="1" applyProtection="1">
      <alignment horizontal="center"/>
      <protection locked="0"/>
    </xf>
    <xf numFmtId="164" fontId="11" fillId="3" borderId="2" xfId="0" applyFont="1" applyFill="1" applyBorder="1" applyAlignment="1" applyProtection="1">
      <alignment horizontal="center"/>
      <protection hidden="1"/>
    </xf>
    <xf numFmtId="164" fontId="11" fillId="3" borderId="6" xfId="0" applyFont="1" applyFill="1" applyBorder="1" applyAlignment="1" applyProtection="1">
      <alignment horizontal="center"/>
      <protection hidden="1"/>
    </xf>
    <xf numFmtId="1" fontId="26" fillId="2" borderId="13" xfId="0" applyNumberFormat="1" applyFont="1" applyFill="1" applyBorder="1" applyAlignment="1" applyProtection="1">
      <alignment horizontal="center"/>
      <protection hidden="1"/>
    </xf>
    <xf numFmtId="164" fontId="76" fillId="2" borderId="13" xfId="0" applyFont="1" applyFill="1" applyBorder="1"/>
    <xf numFmtId="1" fontId="26" fillId="2" borderId="13" xfId="0" applyNumberFormat="1" applyFont="1" applyFill="1" applyBorder="1" applyProtection="1">
      <protection hidden="1"/>
    </xf>
    <xf numFmtId="10" fontId="26" fillId="2" borderId="13" xfId="0" applyNumberFormat="1" applyFont="1" applyFill="1" applyBorder="1" applyAlignment="1" applyProtection="1">
      <alignment horizontal="center"/>
      <protection hidden="1"/>
    </xf>
    <xf numFmtId="10" fontId="26" fillId="2" borderId="13" xfId="0" applyNumberFormat="1" applyFont="1" applyFill="1" applyBorder="1" applyProtection="1">
      <protection hidden="1"/>
    </xf>
    <xf numFmtId="164" fontId="26" fillId="2" borderId="13" xfId="0" applyFont="1" applyFill="1" applyBorder="1" applyAlignment="1" applyProtection="1">
      <alignment horizontal="center"/>
      <protection hidden="1"/>
    </xf>
    <xf numFmtId="164" fontId="26" fillId="2" borderId="58" xfId="0" applyFont="1" applyFill="1" applyBorder="1" applyAlignment="1" applyProtection="1">
      <alignment horizontal="center"/>
      <protection hidden="1"/>
    </xf>
    <xf numFmtId="1" fontId="26" fillId="3" borderId="78" xfId="0" applyNumberFormat="1" applyFont="1" applyFill="1" applyBorder="1" applyAlignment="1" applyProtection="1">
      <alignment horizontal="center"/>
      <protection hidden="1"/>
    </xf>
    <xf numFmtId="164" fontId="24" fillId="0" borderId="24" xfId="0" applyFont="1" applyBorder="1" applyAlignment="1">
      <alignment horizontal="center"/>
    </xf>
    <xf numFmtId="2" fontId="24" fillId="0" borderId="23" xfId="0" applyNumberFormat="1" applyFont="1" applyBorder="1" applyAlignment="1">
      <alignment horizontal="center"/>
    </xf>
    <xf numFmtId="174" fontId="24" fillId="0" borderId="23" xfId="0" applyNumberFormat="1" applyFont="1" applyBorder="1" applyAlignment="1">
      <alignment horizontal="center"/>
    </xf>
    <xf numFmtId="174" fontId="24" fillId="0" borderId="25" xfId="0" applyNumberFormat="1" applyFont="1" applyBorder="1" applyAlignment="1">
      <alignment horizontal="center"/>
    </xf>
    <xf numFmtId="164" fontId="24" fillId="0" borderId="7" xfId="0" applyFont="1" applyBorder="1" applyAlignment="1">
      <alignment horizontal="center"/>
    </xf>
    <xf numFmtId="164" fontId="24" fillId="0" borderId="12" xfId="0" applyFont="1" applyBorder="1" applyAlignment="1">
      <alignment horizontal="left"/>
    </xf>
    <xf numFmtId="164" fontId="24" fillId="0" borderId="0" xfId="0" applyFont="1" applyAlignment="1">
      <alignment horizontal="left"/>
    </xf>
    <xf numFmtId="2" fontId="24" fillId="0" borderId="31" xfId="0" applyNumberFormat="1" applyFont="1" applyBorder="1" applyAlignment="1">
      <alignment horizontal="center"/>
    </xf>
    <xf numFmtId="174" fontId="15" fillId="3" borderId="47" xfId="0" applyNumberFormat="1" applyFont="1" applyFill="1" applyBorder="1" applyAlignment="1" applyProtection="1">
      <alignment horizontal="left"/>
      <protection hidden="1"/>
    </xf>
    <xf numFmtId="164" fontId="24" fillId="0" borderId="32" xfId="0" applyFont="1" applyBorder="1"/>
    <xf numFmtId="164" fontId="26" fillId="4" borderId="50" xfId="0" applyFont="1" applyFill="1" applyBorder="1" applyAlignment="1" applyProtection="1">
      <alignment horizontal="left"/>
      <protection hidden="1"/>
    </xf>
    <xf numFmtId="1" fontId="26" fillId="3" borderId="36" xfId="0" applyNumberFormat="1" applyFont="1" applyFill="1" applyBorder="1" applyAlignment="1" applyProtection="1">
      <alignment horizontal="center"/>
      <protection hidden="1"/>
    </xf>
    <xf numFmtId="1" fontId="26" fillId="3" borderId="79" xfId="0" applyNumberFormat="1" applyFont="1" applyFill="1" applyBorder="1" applyAlignment="1" applyProtection="1">
      <alignment horizontal="center"/>
      <protection hidden="1"/>
    </xf>
    <xf numFmtId="164" fontId="11" fillId="8" borderId="6" xfId="0" applyFont="1" applyFill="1" applyBorder="1" applyAlignment="1" applyProtection="1">
      <alignment horizontal="center"/>
      <protection locked="0"/>
    </xf>
    <xf numFmtId="2" fontId="11" fillId="5" borderId="6" xfId="0" applyNumberFormat="1" applyFont="1" applyFill="1" applyBorder="1" applyAlignment="1" applyProtection="1">
      <alignment horizontal="center"/>
      <protection locked="0"/>
    </xf>
    <xf numFmtId="164" fontId="11" fillId="0" borderId="11" xfId="0" applyFont="1" applyBorder="1" applyProtection="1">
      <protection hidden="1"/>
    </xf>
    <xf numFmtId="164" fontId="11" fillId="0" borderId="13" xfId="0" applyFont="1" applyBorder="1" applyProtection="1">
      <protection hidden="1"/>
    </xf>
    <xf numFmtId="164" fontId="11" fillId="0" borderId="58" xfId="0" applyFont="1" applyBorder="1" applyProtection="1">
      <protection hidden="1"/>
    </xf>
    <xf numFmtId="173" fontId="11" fillId="0" borderId="43" xfId="0" applyNumberFormat="1" applyFont="1" applyBorder="1" applyProtection="1">
      <protection hidden="1"/>
    </xf>
    <xf numFmtId="173" fontId="11" fillId="0" borderId="60" xfId="0" applyNumberFormat="1" applyFont="1" applyBorder="1" applyProtection="1">
      <protection hidden="1"/>
    </xf>
    <xf numFmtId="164" fontId="11" fillId="2" borderId="76" xfId="0" applyFont="1" applyFill="1" applyBorder="1" applyProtection="1">
      <protection hidden="1"/>
    </xf>
    <xf numFmtId="164" fontId="11" fillId="2" borderId="62" xfId="0" applyFont="1" applyFill="1" applyBorder="1" applyProtection="1">
      <protection hidden="1"/>
    </xf>
    <xf numFmtId="164" fontId="55" fillId="3" borderId="2" xfId="0" applyFont="1" applyFill="1" applyBorder="1"/>
    <xf numFmtId="164" fontId="55" fillId="3" borderId="0" xfId="0" applyFont="1" applyFill="1"/>
    <xf numFmtId="164" fontId="77" fillId="3" borderId="2" xfId="0" applyFont="1" applyFill="1" applyBorder="1"/>
    <xf numFmtId="164" fontId="78" fillId="0" borderId="0" xfId="0" applyFont="1"/>
    <xf numFmtId="1" fontId="26" fillId="4" borderId="4" xfId="0" applyNumberFormat="1" applyFont="1" applyFill="1" applyBorder="1" applyAlignment="1" applyProtection="1">
      <alignment horizontal="right"/>
      <protection locked="0"/>
    </xf>
    <xf numFmtId="1" fontId="15" fillId="5" borderId="75" xfId="0" applyNumberFormat="1" applyFont="1" applyFill="1" applyBorder="1" applyAlignment="1" applyProtection="1">
      <alignment horizontal="center"/>
      <protection locked="0"/>
    </xf>
    <xf numFmtId="9" fontId="0" fillId="0" borderId="0" xfId="0" applyNumberFormat="1"/>
    <xf numFmtId="9" fontId="15" fillId="3" borderId="16" xfId="0" applyNumberFormat="1" applyFont="1" applyFill="1" applyBorder="1" applyAlignment="1" applyProtection="1">
      <alignment horizontal="center"/>
      <protection hidden="1"/>
    </xf>
    <xf numFmtId="1" fontId="15" fillId="3" borderId="2" xfId="0" applyNumberFormat="1" applyFont="1" applyFill="1" applyBorder="1" applyAlignment="1" applyProtection="1">
      <alignment horizontal="center"/>
      <protection hidden="1"/>
    </xf>
    <xf numFmtId="1" fontId="15" fillId="3" borderId="17" xfId="0" applyNumberFormat="1" applyFont="1" applyFill="1" applyBorder="1" applyAlignment="1" applyProtection="1">
      <alignment horizontal="center"/>
      <protection hidden="1"/>
    </xf>
    <xf numFmtId="164" fontId="22" fillId="0" borderId="0" xfId="0" applyFont="1"/>
    <xf numFmtId="164" fontId="26" fillId="4" borderId="2" xfId="0" quotePrefix="1" applyFont="1" applyFill="1" applyBorder="1" applyAlignment="1" applyProtection="1">
      <alignment horizontal="right"/>
      <protection hidden="1"/>
    </xf>
    <xf numFmtId="175" fontId="79" fillId="0" borderId="2" xfId="0" applyNumberFormat="1" applyFont="1" applyBorder="1" applyAlignment="1" applyProtection="1">
      <alignment horizontal="center"/>
      <protection locked="0"/>
    </xf>
    <xf numFmtId="1" fontId="79" fillId="0" borderId="2" xfId="0" applyNumberFormat="1" applyFont="1" applyBorder="1" applyAlignment="1" applyProtection="1">
      <alignment horizontal="center"/>
      <protection locked="0"/>
    </xf>
    <xf numFmtId="164" fontId="17" fillId="0" borderId="0" xfId="0" applyFont="1" applyAlignment="1" applyProtection="1">
      <alignment horizontal="justify" vertical="top"/>
      <protection hidden="1"/>
    </xf>
    <xf numFmtId="164" fontId="22" fillId="0" borderId="0" xfId="0" applyFont="1" applyAlignment="1">
      <alignment vertical="top"/>
    </xf>
    <xf numFmtId="164" fontId="16" fillId="0" borderId="0" xfId="0" applyFont="1" applyAlignment="1" applyProtection="1">
      <alignment horizontal="justify" vertical="top"/>
      <protection hidden="1"/>
    </xf>
    <xf numFmtId="164" fontId="73" fillId="0" borderId="0" xfId="0" applyFont="1" applyAlignment="1">
      <alignment vertical="top"/>
    </xf>
    <xf numFmtId="164" fontId="17" fillId="0" borderId="0" xfId="0" applyFont="1" applyAlignment="1" applyProtection="1">
      <alignment horizontal="left" vertical="top" wrapText="1"/>
      <protection hidden="1"/>
    </xf>
    <xf numFmtId="164" fontId="22" fillId="0" borderId="0" xfId="0" applyFont="1" applyAlignment="1">
      <alignment vertical="top" wrapText="1"/>
    </xf>
    <xf numFmtId="164" fontId="16" fillId="0" borderId="0" xfId="0" applyFont="1" applyAlignment="1" applyProtection="1">
      <alignment horizontal="center"/>
      <protection hidden="1"/>
    </xf>
    <xf numFmtId="164" fontId="16" fillId="0" borderId="0" xfId="0" applyFont="1" applyAlignment="1" applyProtection="1">
      <alignment horizontal="justify"/>
      <protection hidden="1"/>
    </xf>
    <xf numFmtId="164" fontId="22" fillId="0" borderId="0" xfId="0" applyFont="1"/>
    <xf numFmtId="164" fontId="17" fillId="0" borderId="0" xfId="0" applyFont="1" applyAlignment="1" applyProtection="1">
      <alignment horizontal="justify"/>
      <protection hidden="1"/>
    </xf>
    <xf numFmtId="164" fontId="22" fillId="0" borderId="0" xfId="0" applyFont="1" applyAlignment="1">
      <alignment horizontal="left" vertical="top" wrapText="1"/>
    </xf>
    <xf numFmtId="164" fontId="27" fillId="3" borderId="49" xfId="0" applyFont="1" applyFill="1" applyBorder="1" applyAlignment="1" applyProtection="1">
      <alignment horizontal="center"/>
      <protection hidden="1"/>
    </xf>
    <xf numFmtId="164" fontId="27" fillId="3" borderId="60" xfId="0" applyFont="1" applyFill="1" applyBorder="1" applyAlignment="1" applyProtection="1">
      <alignment horizontal="center"/>
      <protection hidden="1"/>
    </xf>
    <xf numFmtId="164" fontId="27" fillId="3" borderId="22" xfId="0" applyFont="1" applyFill="1" applyBorder="1" applyAlignment="1" applyProtection="1">
      <alignment horizontal="center"/>
      <protection hidden="1"/>
    </xf>
    <xf numFmtId="164" fontId="27" fillId="3" borderId="62" xfId="0" applyFont="1" applyFill="1" applyBorder="1" applyAlignment="1" applyProtection="1">
      <alignment horizontal="center"/>
      <protection hidden="1"/>
    </xf>
    <xf numFmtId="164" fontId="15" fillId="3" borderId="2" xfId="0" applyFont="1" applyFill="1" applyBorder="1" applyAlignment="1" applyProtection="1">
      <alignment horizontal="center"/>
      <protection hidden="1"/>
    </xf>
    <xf numFmtId="1" fontId="15" fillId="3" borderId="44" xfId="0" applyNumberFormat="1" applyFont="1" applyFill="1" applyBorder="1" applyAlignment="1" applyProtection="1">
      <alignment horizontal="center" vertical="center"/>
      <protection hidden="1"/>
    </xf>
    <xf numFmtId="1" fontId="15" fillId="3" borderId="73" xfId="0" applyNumberFormat="1" applyFont="1" applyFill="1" applyBorder="1" applyAlignment="1" applyProtection="1">
      <alignment horizontal="center" vertical="center"/>
      <protection hidden="1"/>
    </xf>
    <xf numFmtId="1" fontId="15" fillId="3" borderId="45" xfId="0" applyNumberFormat="1" applyFont="1" applyFill="1" applyBorder="1" applyAlignment="1" applyProtection="1">
      <alignment horizontal="center" vertical="center"/>
      <protection hidden="1"/>
    </xf>
    <xf numFmtId="172" fontId="15" fillId="8" borderId="16" xfId="0" applyNumberFormat="1" applyFont="1" applyFill="1" applyBorder="1" applyAlignment="1" applyProtection="1">
      <alignment horizontal="left"/>
      <protection locked="0" hidden="1"/>
    </xf>
    <xf numFmtId="172" fontId="15" fillId="8" borderId="76" xfId="0" applyNumberFormat="1" applyFont="1" applyFill="1" applyBorder="1" applyAlignment="1" applyProtection="1">
      <alignment horizontal="left"/>
      <protection locked="0" hidden="1"/>
    </xf>
    <xf numFmtId="172" fontId="15" fillId="8" borderId="68" xfId="0" applyNumberFormat="1" applyFont="1" applyFill="1" applyBorder="1" applyAlignment="1" applyProtection="1">
      <alignment horizontal="left"/>
      <protection locked="0" hidden="1"/>
    </xf>
    <xf numFmtId="172" fontId="15" fillId="8" borderId="34" xfId="0" applyNumberFormat="1" applyFont="1" applyFill="1" applyBorder="1" applyAlignment="1" applyProtection="1">
      <alignment horizontal="left"/>
      <protection locked="0" hidden="1"/>
    </xf>
    <xf numFmtId="172" fontId="15" fillId="8" borderId="67" xfId="0" applyNumberFormat="1" applyFont="1" applyFill="1" applyBorder="1" applyAlignment="1" applyProtection="1">
      <alignment horizontal="left"/>
      <protection locked="0" hidden="1"/>
    </xf>
    <xf numFmtId="172" fontId="15" fillId="8" borderId="48" xfId="0" applyNumberFormat="1" applyFont="1" applyFill="1" applyBorder="1" applyAlignment="1" applyProtection="1">
      <alignment horizontal="left"/>
      <protection locked="0" hidden="1"/>
    </xf>
    <xf numFmtId="164" fontId="26" fillId="10" borderId="61" xfId="0" applyFont="1" applyFill="1" applyBorder="1" applyAlignment="1" applyProtection="1">
      <alignment horizontal="left"/>
      <protection hidden="1"/>
    </xf>
    <xf numFmtId="164" fontId="26" fillId="10" borderId="14" xfId="0" applyFont="1" applyFill="1" applyBorder="1" applyAlignment="1" applyProtection="1">
      <alignment horizontal="left"/>
      <protection hidden="1"/>
    </xf>
    <xf numFmtId="164" fontId="26" fillId="10" borderId="15" xfId="0" applyFont="1" applyFill="1" applyBorder="1" applyAlignment="1" applyProtection="1">
      <alignment horizontal="left"/>
      <protection hidden="1"/>
    </xf>
    <xf numFmtId="172" fontId="26" fillId="2" borderId="22" xfId="0" applyNumberFormat="1" applyFont="1" applyFill="1" applyBorder="1" applyAlignment="1" applyProtection="1">
      <alignment horizontal="center"/>
      <protection hidden="1"/>
    </xf>
    <xf numFmtId="172" fontId="26" fillId="2" borderId="8" xfId="0" applyNumberFormat="1" applyFont="1" applyFill="1" applyBorder="1" applyAlignment="1" applyProtection="1">
      <alignment horizontal="center"/>
      <protection hidden="1"/>
    </xf>
    <xf numFmtId="172" fontId="26" fillId="2" borderId="58" xfId="0" applyNumberFormat="1" applyFont="1" applyFill="1" applyBorder="1" applyAlignment="1" applyProtection="1">
      <alignment horizontal="center"/>
      <protection hidden="1"/>
    </xf>
    <xf numFmtId="172" fontId="15" fillId="4" borderId="39" xfId="0" applyNumberFormat="1" applyFont="1" applyFill="1" applyBorder="1" applyAlignment="1" applyProtection="1">
      <alignment horizontal="right"/>
      <protection hidden="1"/>
    </xf>
    <xf numFmtId="172" fontId="15" fillId="4" borderId="75" xfId="0" applyNumberFormat="1" applyFont="1" applyFill="1" applyBorder="1" applyAlignment="1" applyProtection="1">
      <alignment horizontal="right"/>
      <protection hidden="1"/>
    </xf>
    <xf numFmtId="172" fontId="15" fillId="4" borderId="20" xfId="0" applyNumberFormat="1" applyFont="1" applyFill="1" applyBorder="1" applyAlignment="1" applyProtection="1">
      <alignment horizontal="center" vertical="center" wrapText="1"/>
      <protection hidden="1"/>
    </xf>
    <xf numFmtId="172" fontId="15" fillId="4" borderId="23" xfId="0" applyNumberFormat="1" applyFont="1" applyFill="1" applyBorder="1" applyAlignment="1" applyProtection="1">
      <alignment horizontal="center" vertical="center"/>
      <protection hidden="1"/>
    </xf>
    <xf numFmtId="2" fontId="15" fillId="2" borderId="21" xfId="0" applyNumberFormat="1" applyFont="1" applyFill="1" applyBorder="1" applyAlignment="1" applyProtection="1">
      <alignment horizontal="center"/>
      <protection hidden="1"/>
    </xf>
    <xf numFmtId="2" fontId="15" fillId="2" borderId="25" xfId="0" applyNumberFormat="1" applyFont="1" applyFill="1" applyBorder="1" applyAlignment="1" applyProtection="1">
      <alignment horizontal="center"/>
      <protection hidden="1"/>
    </xf>
    <xf numFmtId="164" fontId="26" fillId="2" borderId="10" xfId="0" applyFont="1" applyFill="1" applyBorder="1" applyAlignment="1" applyProtection="1">
      <alignment horizontal="center"/>
      <protection hidden="1"/>
    </xf>
    <xf numFmtId="164" fontId="26" fillId="2" borderId="24" xfId="0" applyFont="1" applyFill="1" applyBorder="1" applyAlignment="1" applyProtection="1">
      <alignment horizontal="center"/>
      <protection hidden="1"/>
    </xf>
    <xf numFmtId="1" fontId="15" fillId="3" borderId="65" xfId="0" applyNumberFormat="1" applyFont="1" applyFill="1" applyBorder="1" applyAlignment="1" applyProtection="1">
      <alignment horizontal="center" vertical="center"/>
      <protection hidden="1"/>
    </xf>
    <xf numFmtId="1" fontId="15" fillId="3" borderId="70" xfId="0" applyNumberFormat="1" applyFont="1" applyFill="1" applyBorder="1" applyAlignment="1" applyProtection="1">
      <alignment horizontal="center" vertical="center"/>
      <protection hidden="1"/>
    </xf>
    <xf numFmtId="1" fontId="15" fillId="3" borderId="24" xfId="0" applyNumberFormat="1" applyFont="1" applyFill="1" applyBorder="1" applyAlignment="1" applyProtection="1">
      <alignment horizontal="center" vertical="center"/>
      <protection hidden="1"/>
    </xf>
    <xf numFmtId="164" fontId="30" fillId="5" borderId="12" xfId="0" applyFont="1" applyFill="1" applyBorder="1" applyAlignment="1" applyProtection="1">
      <alignment horizontal="center"/>
      <protection locked="0"/>
    </xf>
    <xf numFmtId="164" fontId="30" fillId="5" borderId="0" xfId="0" applyFont="1" applyFill="1" applyAlignment="1" applyProtection="1">
      <alignment horizontal="center"/>
      <protection locked="0"/>
    </xf>
    <xf numFmtId="164" fontId="30" fillId="5" borderId="13" xfId="0" applyFont="1" applyFill="1" applyBorder="1" applyAlignment="1" applyProtection="1">
      <alignment horizontal="center"/>
      <protection locked="0"/>
    </xf>
    <xf numFmtId="164" fontId="26" fillId="4" borderId="44" xfId="0" applyFont="1" applyFill="1" applyBorder="1" applyAlignment="1" applyProtection="1">
      <alignment horizontal="center" vertical="center"/>
      <protection hidden="1"/>
    </xf>
    <xf numFmtId="164" fontId="26" fillId="4" borderId="73" xfId="0" applyFont="1" applyFill="1" applyBorder="1" applyAlignment="1" applyProtection="1">
      <alignment horizontal="center" vertical="center"/>
      <protection hidden="1"/>
    </xf>
    <xf numFmtId="164" fontId="26" fillId="4" borderId="45" xfId="0" applyFont="1" applyFill="1" applyBorder="1" applyAlignment="1" applyProtection="1">
      <alignment horizontal="center" vertical="center"/>
      <protection hidden="1"/>
    </xf>
    <xf numFmtId="164" fontId="30" fillId="5" borderId="10" xfId="0" applyFont="1" applyFill="1" applyBorder="1" applyAlignment="1" applyProtection="1">
      <alignment horizontal="center"/>
      <protection locked="0"/>
    </xf>
    <xf numFmtId="164" fontId="30" fillId="5" borderId="7" xfId="0" applyFont="1" applyFill="1" applyBorder="1" applyAlignment="1" applyProtection="1">
      <alignment horizontal="center"/>
      <protection locked="0"/>
    </xf>
    <xf numFmtId="164" fontId="30" fillId="5" borderId="11" xfId="0" applyFont="1" applyFill="1" applyBorder="1" applyAlignment="1" applyProtection="1">
      <alignment horizontal="center"/>
      <protection locked="0"/>
    </xf>
    <xf numFmtId="164" fontId="44" fillId="5" borderId="12" xfId="0" applyFont="1" applyFill="1" applyBorder="1" applyAlignment="1" applyProtection="1">
      <alignment horizontal="center"/>
      <protection locked="0"/>
    </xf>
    <xf numFmtId="164" fontId="44" fillId="5" borderId="0" xfId="0" applyFont="1" applyFill="1" applyAlignment="1" applyProtection="1">
      <alignment horizontal="center"/>
      <protection locked="0"/>
    </xf>
    <xf numFmtId="164" fontId="44" fillId="5" borderId="13" xfId="0" applyFont="1" applyFill="1" applyBorder="1" applyAlignment="1" applyProtection="1">
      <alignment horizontal="center"/>
      <protection locked="0"/>
    </xf>
    <xf numFmtId="164" fontId="0" fillId="0" borderId="57" xfId="0" applyBorder="1" applyAlignment="1" applyProtection="1">
      <alignment horizontal="center"/>
      <protection locked="0"/>
    </xf>
    <xf numFmtId="164" fontId="0" fillId="0" borderId="8" xfId="0" applyBorder="1" applyAlignment="1" applyProtection="1">
      <alignment horizontal="center"/>
      <protection locked="0"/>
    </xf>
    <xf numFmtId="164" fontId="0" fillId="0" borderId="58" xfId="0" applyBorder="1" applyAlignment="1" applyProtection="1">
      <alignment horizontal="center"/>
      <protection locked="0"/>
    </xf>
    <xf numFmtId="172" fontId="15" fillId="8" borderId="61" xfId="0" applyNumberFormat="1" applyFont="1" applyFill="1" applyBorder="1" applyAlignment="1" applyProtection="1">
      <alignment horizontal="left"/>
      <protection locked="0" hidden="1"/>
    </xf>
    <xf numFmtId="172" fontId="15" fillId="8" borderId="14" xfId="0" applyNumberFormat="1" applyFont="1" applyFill="1" applyBorder="1" applyAlignment="1" applyProtection="1">
      <alignment horizontal="left"/>
      <protection locked="0" hidden="1"/>
    </xf>
    <xf numFmtId="172" fontId="15" fillId="8" borderId="15" xfId="0" applyNumberFormat="1" applyFont="1" applyFill="1" applyBorder="1" applyAlignment="1" applyProtection="1">
      <alignment horizontal="left"/>
      <protection locked="0" hidden="1"/>
    </xf>
    <xf numFmtId="164" fontId="15" fillId="4" borderId="37" xfId="0" applyFont="1" applyFill="1" applyBorder="1" applyAlignment="1" applyProtection="1">
      <alignment horizontal="left" vertical="center" wrapText="1"/>
      <protection hidden="1"/>
    </xf>
    <xf numFmtId="164" fontId="15" fillId="4" borderId="66" xfId="0" applyFont="1" applyFill="1" applyBorder="1" applyAlignment="1" applyProtection="1">
      <alignment horizontal="left" vertical="center" wrapText="1"/>
      <protection hidden="1"/>
    </xf>
    <xf numFmtId="164" fontId="26" fillId="4" borderId="61" xfId="0" applyFont="1" applyFill="1" applyBorder="1" applyAlignment="1" applyProtection="1">
      <alignment horizontal="left"/>
      <protection hidden="1"/>
    </xf>
    <xf numFmtId="164" fontId="26" fillId="4" borderId="14" xfId="0" applyFont="1" applyFill="1" applyBorder="1" applyAlignment="1" applyProtection="1">
      <alignment horizontal="left"/>
      <protection hidden="1"/>
    </xf>
    <xf numFmtId="164" fontId="26" fillId="4" borderId="63" xfId="0" applyFont="1" applyFill="1" applyBorder="1" applyAlignment="1" applyProtection="1">
      <alignment horizontal="left"/>
      <protection hidden="1"/>
    </xf>
    <xf numFmtId="164" fontId="15" fillId="4" borderId="36" xfId="0" applyFont="1" applyFill="1" applyBorder="1" applyAlignment="1" applyProtection="1">
      <alignment horizontal="left"/>
      <protection hidden="1"/>
    </xf>
    <xf numFmtId="164" fontId="15" fillId="4" borderId="46" xfId="0" applyFont="1" applyFill="1" applyBorder="1" applyAlignment="1" applyProtection="1">
      <alignment horizontal="left"/>
      <protection hidden="1"/>
    </xf>
    <xf numFmtId="164" fontId="15" fillId="4" borderId="76" xfId="0" applyFont="1" applyFill="1" applyBorder="1" applyAlignment="1" applyProtection="1">
      <alignment horizontal="left"/>
      <protection hidden="1"/>
    </xf>
    <xf numFmtId="164" fontId="15" fillId="4" borderId="68" xfId="0" applyFont="1" applyFill="1" applyBorder="1" applyAlignment="1" applyProtection="1">
      <alignment horizontal="left"/>
      <protection hidden="1"/>
    </xf>
    <xf numFmtId="164" fontId="15" fillId="4" borderId="54" xfId="0" applyFont="1" applyFill="1" applyBorder="1" applyAlignment="1" applyProtection="1">
      <alignment horizontal="left"/>
      <protection hidden="1"/>
    </xf>
    <xf numFmtId="164" fontId="15" fillId="4" borderId="55" xfId="0" applyFont="1" applyFill="1" applyBorder="1" applyAlignment="1" applyProtection="1">
      <alignment horizontal="left"/>
      <protection hidden="1"/>
    </xf>
    <xf numFmtId="164" fontId="15" fillId="4" borderId="75" xfId="0" applyFont="1" applyFill="1" applyBorder="1" applyAlignment="1" applyProtection="1">
      <alignment horizontal="left"/>
      <protection hidden="1"/>
    </xf>
    <xf numFmtId="164" fontId="26" fillId="10" borderId="41" xfId="0" applyFont="1" applyFill="1" applyBorder="1" applyAlignment="1" applyProtection="1">
      <alignment horizontal="left"/>
      <protection hidden="1"/>
    </xf>
    <xf numFmtId="164" fontId="26" fillId="10" borderId="63" xfId="0" applyFont="1" applyFill="1" applyBorder="1" applyAlignment="1" applyProtection="1">
      <alignment horizontal="left"/>
      <protection hidden="1"/>
    </xf>
    <xf numFmtId="164" fontId="15" fillId="4" borderId="33" xfId="0" applyFont="1" applyFill="1" applyBorder="1" applyAlignment="1" applyProtection="1">
      <alignment horizontal="left"/>
      <protection hidden="1"/>
    </xf>
    <xf numFmtId="164" fontId="15" fillId="4" borderId="52" xfId="0" applyFont="1" applyFill="1" applyBorder="1" applyAlignment="1" applyProtection="1">
      <alignment horizontal="left"/>
      <protection hidden="1"/>
    </xf>
    <xf numFmtId="49" fontId="26" fillId="4" borderId="65" xfId="0" applyNumberFormat="1" applyFont="1" applyFill="1" applyBorder="1" applyAlignment="1" applyProtection="1">
      <alignment horizontal="center" vertical="center"/>
      <protection hidden="1"/>
    </xf>
    <xf numFmtId="49" fontId="26" fillId="4" borderId="70" xfId="0" applyNumberFormat="1" applyFont="1" applyFill="1" applyBorder="1" applyAlignment="1" applyProtection="1">
      <alignment horizontal="center" vertical="center"/>
      <protection hidden="1"/>
    </xf>
    <xf numFmtId="49" fontId="26" fillId="4" borderId="24" xfId="0" applyNumberFormat="1" applyFont="1" applyFill="1" applyBorder="1" applyAlignment="1" applyProtection="1">
      <alignment horizontal="center" vertical="center"/>
      <protection hidden="1"/>
    </xf>
    <xf numFmtId="164" fontId="15" fillId="8" borderId="39" xfId="0" applyFont="1" applyFill="1" applyBorder="1" applyAlignment="1" applyProtection="1">
      <alignment horizontal="left"/>
      <protection locked="0" hidden="1"/>
    </xf>
    <xf numFmtId="164" fontId="15" fillId="8" borderId="55" xfId="0" applyFont="1" applyFill="1" applyBorder="1" applyAlignment="1" applyProtection="1">
      <alignment horizontal="left"/>
      <protection locked="0" hidden="1"/>
    </xf>
    <xf numFmtId="164" fontId="15" fillId="8" borderId="75" xfId="0" applyFont="1" applyFill="1" applyBorder="1" applyAlignment="1" applyProtection="1">
      <alignment horizontal="left"/>
      <protection locked="0" hidden="1"/>
    </xf>
    <xf numFmtId="164" fontId="26" fillId="4" borderId="19" xfId="0" applyFont="1" applyFill="1" applyBorder="1" applyAlignment="1" applyProtection="1">
      <alignment horizontal="left" vertical="center"/>
      <protection hidden="1"/>
    </xf>
    <xf numFmtId="164" fontId="26" fillId="4" borderId="7" xfId="0" applyFont="1" applyFill="1" applyBorder="1" applyAlignment="1" applyProtection="1">
      <alignment horizontal="left" vertical="center"/>
      <protection hidden="1"/>
    </xf>
    <xf numFmtId="164" fontId="26" fillId="4" borderId="80" xfId="0" applyFont="1" applyFill="1" applyBorder="1" applyAlignment="1" applyProtection="1">
      <alignment horizontal="left" vertical="center"/>
      <protection hidden="1"/>
    </xf>
    <xf numFmtId="164" fontId="26" fillId="4" borderId="3" xfId="0" applyFont="1" applyFill="1" applyBorder="1" applyAlignment="1" applyProtection="1">
      <alignment horizontal="left" vertical="center"/>
      <protection hidden="1"/>
    </xf>
    <xf numFmtId="164" fontId="26" fillId="4" borderId="0" xfId="0" applyFont="1" applyFill="1" applyAlignment="1" applyProtection="1">
      <alignment horizontal="left" vertical="center"/>
      <protection hidden="1"/>
    </xf>
    <xf numFmtId="164" fontId="26" fillId="4" borderId="43" xfId="0" applyFont="1" applyFill="1" applyBorder="1" applyAlignment="1" applyProtection="1">
      <alignment horizontal="left" vertical="center"/>
      <protection hidden="1"/>
    </xf>
    <xf numFmtId="164" fontId="26" fillId="4" borderId="22" xfId="0" applyFont="1" applyFill="1" applyBorder="1" applyAlignment="1" applyProtection="1">
      <alignment horizontal="left" vertical="center"/>
      <protection hidden="1"/>
    </xf>
    <xf numFmtId="164" fontId="26" fillId="4" borderId="8" xfId="0" applyFont="1" applyFill="1" applyBorder="1" applyAlignment="1" applyProtection="1">
      <alignment horizontal="left" vertical="center"/>
      <protection hidden="1"/>
    </xf>
    <xf numFmtId="164" fontId="26" fillId="4" borderId="62" xfId="0" applyFont="1" applyFill="1" applyBorder="1" applyAlignment="1" applyProtection="1">
      <alignment horizontal="left" vertical="center"/>
      <protection hidden="1"/>
    </xf>
    <xf numFmtId="172" fontId="15" fillId="4" borderId="34" xfId="0" applyNumberFormat="1" applyFont="1" applyFill="1" applyBorder="1" applyAlignment="1" applyProtection="1">
      <alignment horizontal="center"/>
      <protection hidden="1"/>
    </xf>
    <xf numFmtId="172" fontId="15" fillId="4" borderId="48" xfId="0" applyNumberFormat="1" applyFont="1" applyFill="1" applyBorder="1" applyAlignment="1" applyProtection="1">
      <alignment horizontal="center"/>
      <protection hidden="1"/>
    </xf>
    <xf numFmtId="164" fontId="15" fillId="4" borderId="61" xfId="0" applyFont="1" applyFill="1" applyBorder="1" applyAlignment="1" applyProtection="1">
      <alignment horizontal="left" vertical="center"/>
      <protection hidden="1"/>
    </xf>
    <xf numFmtId="164" fontId="15" fillId="4" borderId="14" xfId="0" applyFont="1" applyFill="1" applyBorder="1" applyAlignment="1" applyProtection="1">
      <alignment horizontal="left" vertical="center"/>
      <protection hidden="1"/>
    </xf>
    <xf numFmtId="164" fontId="15" fillId="4" borderId="63" xfId="0" applyFont="1" applyFill="1" applyBorder="1" applyAlignment="1" applyProtection="1">
      <alignment horizontal="left" vertical="center"/>
      <protection hidden="1"/>
    </xf>
    <xf numFmtId="172" fontId="15" fillId="8" borderId="61" xfId="0" applyNumberFormat="1" applyFont="1" applyFill="1" applyBorder="1" applyAlignment="1" applyProtection="1">
      <alignment horizontal="center"/>
      <protection locked="0" hidden="1"/>
    </xf>
    <xf numFmtId="172" fontId="15" fillId="8" borderId="63" xfId="0" applyNumberFormat="1" applyFont="1" applyFill="1" applyBorder="1" applyAlignment="1" applyProtection="1">
      <alignment horizontal="center"/>
      <protection locked="0" hidden="1"/>
    </xf>
    <xf numFmtId="1" fontId="15" fillId="2" borderId="31" xfId="0" applyNumberFormat="1" applyFont="1" applyFill="1" applyBorder="1" applyAlignment="1" applyProtection="1">
      <alignment horizontal="center"/>
      <protection hidden="1"/>
    </xf>
    <xf numFmtId="1" fontId="15" fillId="2" borderId="38" xfId="0" applyNumberFormat="1" applyFont="1" applyFill="1" applyBorder="1" applyAlignment="1" applyProtection="1">
      <alignment horizontal="center"/>
      <protection hidden="1"/>
    </xf>
    <xf numFmtId="2" fontId="15" fillId="2" borderId="20" xfId="0" applyNumberFormat="1" applyFont="1" applyFill="1" applyBorder="1" applyAlignment="1" applyProtection="1">
      <alignment horizontal="center"/>
      <protection hidden="1"/>
    </xf>
    <xf numFmtId="2" fontId="15" fillId="2" borderId="23" xfId="0" applyNumberFormat="1" applyFont="1" applyFill="1" applyBorder="1" applyAlignment="1" applyProtection="1">
      <alignment horizontal="center"/>
      <protection hidden="1"/>
    </xf>
    <xf numFmtId="2" fontId="15" fillId="2" borderId="17" xfId="0" applyNumberFormat="1" applyFont="1" applyFill="1" applyBorder="1" applyAlignment="1" applyProtection="1">
      <alignment horizontal="center"/>
      <protection hidden="1"/>
    </xf>
    <xf numFmtId="2" fontId="15" fillId="2" borderId="30" xfId="0" applyNumberFormat="1" applyFont="1" applyFill="1" applyBorder="1" applyAlignment="1" applyProtection="1">
      <alignment horizontal="center"/>
      <protection hidden="1"/>
    </xf>
    <xf numFmtId="1" fontId="15" fillId="3" borderId="21" xfId="0" applyNumberFormat="1" applyFont="1" applyFill="1" applyBorder="1" applyAlignment="1" applyProtection="1">
      <alignment horizontal="center" vertical="center"/>
      <protection hidden="1"/>
    </xf>
    <xf numFmtId="1" fontId="15" fillId="3" borderId="25" xfId="0" applyNumberFormat="1" applyFont="1" applyFill="1" applyBorder="1" applyAlignment="1" applyProtection="1">
      <alignment horizontal="center" vertical="center"/>
      <protection hidden="1"/>
    </xf>
    <xf numFmtId="164" fontId="15" fillId="0" borderId="21" xfId="0" applyFont="1" applyBorder="1" applyAlignment="1" applyProtection="1">
      <alignment horizontal="center" vertical="center"/>
      <protection locked="0"/>
    </xf>
    <xf numFmtId="164" fontId="15" fillId="0" borderId="25" xfId="0" applyFont="1" applyBorder="1" applyAlignment="1" applyProtection="1">
      <alignment horizontal="center" vertical="center"/>
      <protection locked="0"/>
    </xf>
    <xf numFmtId="172" fontId="15" fillId="4" borderId="19" xfId="0" applyNumberFormat="1" applyFont="1" applyFill="1" applyBorder="1" applyAlignment="1" applyProtection="1">
      <alignment horizontal="center" vertical="center"/>
      <protection hidden="1"/>
    </xf>
    <xf numFmtId="172" fontId="15" fillId="4" borderId="80" xfId="0" applyNumberFormat="1" applyFont="1" applyFill="1" applyBorder="1" applyAlignment="1" applyProtection="1">
      <alignment horizontal="center" vertical="center"/>
      <protection hidden="1"/>
    </xf>
    <xf numFmtId="172" fontId="15" fillId="4" borderId="22" xfId="0" applyNumberFormat="1" applyFont="1" applyFill="1" applyBorder="1" applyAlignment="1" applyProtection="1">
      <alignment horizontal="center" vertical="center"/>
      <protection hidden="1"/>
    </xf>
    <xf numFmtId="172" fontId="15" fillId="4" borderId="62" xfId="0" applyNumberFormat="1" applyFont="1" applyFill="1" applyBorder="1" applyAlignment="1" applyProtection="1">
      <alignment horizontal="center" vertical="center"/>
      <protection hidden="1"/>
    </xf>
    <xf numFmtId="2" fontId="15" fillId="4" borderId="16" xfId="0" applyNumberFormat="1" applyFont="1" applyFill="1" applyBorder="1" applyAlignment="1" applyProtection="1">
      <alignment horizontal="right"/>
      <protection hidden="1"/>
    </xf>
    <xf numFmtId="2" fontId="15" fillId="4" borderId="68" xfId="0" applyNumberFormat="1" applyFont="1" applyFill="1" applyBorder="1" applyAlignment="1" applyProtection="1">
      <alignment horizontal="right"/>
      <protection hidden="1"/>
    </xf>
    <xf numFmtId="164" fontId="26" fillId="4" borderId="47" xfId="0" applyFont="1" applyFill="1" applyBorder="1" applyAlignment="1" applyProtection="1">
      <alignment horizontal="left"/>
      <protection hidden="1"/>
    </xf>
    <xf numFmtId="172" fontId="15" fillId="8" borderId="49" xfId="0" applyNumberFormat="1" applyFont="1" applyFill="1" applyBorder="1" applyAlignment="1" applyProtection="1">
      <alignment horizontal="left"/>
      <protection locked="0" hidden="1"/>
    </xf>
    <xf numFmtId="172" fontId="15" fillId="8" borderId="59" xfId="0" applyNumberFormat="1" applyFont="1" applyFill="1" applyBorder="1" applyAlignment="1" applyProtection="1">
      <alignment horizontal="left"/>
      <protection locked="0" hidden="1"/>
    </xf>
    <xf numFmtId="172" fontId="15" fillId="8" borderId="60" xfId="0" applyNumberFormat="1" applyFont="1" applyFill="1" applyBorder="1" applyAlignment="1" applyProtection="1">
      <alignment horizontal="left"/>
      <protection locked="0" hidden="1"/>
    </xf>
    <xf numFmtId="1" fontId="15" fillId="3" borderId="31" xfId="0" applyNumberFormat="1" applyFont="1" applyFill="1" applyBorder="1" applyAlignment="1" applyProtection="1">
      <alignment horizontal="center" vertical="center"/>
      <protection hidden="1"/>
    </xf>
    <xf numFmtId="1" fontId="15" fillId="3" borderId="38" xfId="0" applyNumberFormat="1" applyFont="1" applyFill="1" applyBorder="1" applyAlignment="1" applyProtection="1">
      <alignment horizontal="center" vertical="center"/>
      <protection hidden="1"/>
    </xf>
    <xf numFmtId="164" fontId="15" fillId="0" borderId="41" xfId="0" applyFont="1" applyBorder="1" applyAlignment="1" applyProtection="1">
      <alignment horizontal="center"/>
      <protection locked="0" hidden="1"/>
    </xf>
    <xf numFmtId="164" fontId="15" fillId="0" borderId="15" xfId="0" applyFont="1" applyBorder="1" applyAlignment="1" applyProtection="1">
      <alignment horizontal="center"/>
      <protection locked="0" hidden="1"/>
    </xf>
    <xf numFmtId="164" fontId="26" fillId="4" borderId="54" xfId="0" applyFont="1" applyFill="1" applyBorder="1" applyAlignment="1" applyProtection="1">
      <alignment horizontal="center"/>
      <protection hidden="1"/>
    </xf>
    <xf numFmtId="164" fontId="26" fillId="4" borderId="56" xfId="0" applyFont="1" applyFill="1" applyBorder="1" applyAlignment="1" applyProtection="1">
      <alignment horizontal="center"/>
      <protection hidden="1"/>
    </xf>
    <xf numFmtId="1" fontId="15" fillId="3" borderId="32" xfId="0" applyNumberFormat="1" applyFont="1" applyFill="1" applyBorder="1" applyAlignment="1" applyProtection="1">
      <alignment horizontal="center" vertical="center"/>
      <protection hidden="1"/>
    </xf>
    <xf numFmtId="164" fontId="26" fillId="4" borderId="22" xfId="0" applyFont="1" applyFill="1" applyBorder="1" applyAlignment="1" applyProtection="1">
      <alignment horizontal="center"/>
      <protection hidden="1"/>
    </xf>
    <xf numFmtId="164" fontId="26" fillId="4" borderId="62" xfId="0" applyFont="1" applyFill="1" applyBorder="1" applyAlignment="1" applyProtection="1">
      <alignment horizontal="center"/>
      <protection hidden="1"/>
    </xf>
    <xf numFmtId="164" fontId="15" fillId="3" borderId="4" xfId="0" applyFont="1" applyFill="1" applyBorder="1" applyAlignment="1" applyProtection="1">
      <alignment horizontal="center"/>
      <protection hidden="1"/>
    </xf>
    <xf numFmtId="164" fontId="27" fillId="3" borderId="16" xfId="0" applyFont="1" applyFill="1" applyBorder="1" applyAlignment="1" applyProtection="1">
      <alignment horizontal="left"/>
      <protection hidden="1"/>
    </xf>
    <xf numFmtId="164" fontId="27" fillId="3" borderId="76" xfId="0" applyFont="1" applyFill="1" applyBorder="1" applyAlignment="1" applyProtection="1">
      <alignment horizontal="left"/>
      <protection hidden="1"/>
    </xf>
    <xf numFmtId="164" fontId="27" fillId="3" borderId="68" xfId="0" applyFont="1" applyFill="1" applyBorder="1" applyAlignment="1" applyProtection="1">
      <alignment horizontal="left"/>
      <protection hidden="1"/>
    </xf>
    <xf numFmtId="164" fontId="27" fillId="3" borderId="39" xfId="0" applyFont="1" applyFill="1" applyBorder="1" applyAlignment="1" applyProtection="1">
      <alignment horizontal="left"/>
      <protection hidden="1"/>
    </xf>
    <xf numFmtId="164" fontId="27" fillId="3" borderId="55" xfId="0" applyFont="1" applyFill="1" applyBorder="1" applyAlignment="1" applyProtection="1">
      <alignment horizontal="left"/>
      <protection hidden="1"/>
    </xf>
    <xf numFmtId="164" fontId="27" fillId="3" borderId="75" xfId="0" applyFont="1" applyFill="1" applyBorder="1" applyAlignment="1" applyProtection="1">
      <alignment horizontal="left"/>
      <protection hidden="1"/>
    </xf>
    <xf numFmtId="172" fontId="15" fillId="8" borderId="39" xfId="0" applyNumberFormat="1" applyFont="1" applyFill="1" applyBorder="1" applyAlignment="1" applyProtection="1">
      <alignment horizontal="left"/>
      <protection locked="0" hidden="1"/>
    </xf>
    <xf numFmtId="172" fontId="15" fillId="8" borderId="55" xfId="0" applyNumberFormat="1" applyFont="1" applyFill="1" applyBorder="1" applyAlignment="1" applyProtection="1">
      <alignment horizontal="left"/>
      <protection locked="0" hidden="1"/>
    </xf>
    <xf numFmtId="172" fontId="15" fillId="8" borderId="75" xfId="0" applyNumberFormat="1" applyFont="1" applyFill="1" applyBorder="1" applyAlignment="1" applyProtection="1">
      <alignment horizontal="left"/>
      <protection locked="0" hidden="1"/>
    </xf>
    <xf numFmtId="164" fontId="27" fillId="3" borderId="34" xfId="0" applyFont="1" applyFill="1" applyBorder="1" applyAlignment="1" applyProtection="1">
      <alignment horizontal="left"/>
      <protection hidden="1"/>
    </xf>
    <xf numFmtId="164" fontId="27" fillId="3" borderId="67" xfId="0" applyFont="1" applyFill="1" applyBorder="1" applyAlignment="1" applyProtection="1">
      <alignment horizontal="left"/>
      <protection hidden="1"/>
    </xf>
    <xf numFmtId="164" fontId="27" fillId="3" borderId="48" xfId="0" applyFont="1" applyFill="1" applyBorder="1" applyAlignment="1" applyProtection="1">
      <alignment horizontal="left"/>
      <protection hidden="1"/>
    </xf>
    <xf numFmtId="164" fontId="26" fillId="4" borderId="3" xfId="0" applyFont="1" applyFill="1" applyBorder="1" applyAlignment="1" applyProtection="1">
      <alignment horizontal="left"/>
      <protection hidden="1"/>
    </xf>
    <xf numFmtId="164" fontId="26" fillId="4" borderId="43" xfId="0" applyFont="1" applyFill="1" applyBorder="1" applyAlignment="1" applyProtection="1">
      <alignment horizontal="left"/>
      <protection hidden="1"/>
    </xf>
    <xf numFmtId="164" fontId="27" fillId="3" borderId="39" xfId="0" applyFont="1" applyFill="1" applyBorder="1" applyAlignment="1" applyProtection="1">
      <alignment horizontal="center"/>
      <protection hidden="1"/>
    </xf>
    <xf numFmtId="164" fontId="27" fillId="3" borderId="75" xfId="0" applyFont="1" applyFill="1" applyBorder="1" applyAlignment="1" applyProtection="1">
      <alignment horizontal="center"/>
      <protection hidden="1"/>
    </xf>
    <xf numFmtId="164" fontId="15" fillId="3" borderId="6" xfId="0" applyFont="1" applyFill="1" applyBorder="1" applyAlignment="1" applyProtection="1">
      <alignment horizontal="center"/>
      <protection hidden="1"/>
    </xf>
    <xf numFmtId="164" fontId="15" fillId="4" borderId="34" xfId="0" applyFont="1" applyFill="1" applyBorder="1" applyAlignment="1" applyProtection="1">
      <alignment horizontal="center" vertical="center"/>
      <protection hidden="1"/>
    </xf>
    <xf numFmtId="164" fontId="15" fillId="4" borderId="48" xfId="0" applyFont="1" applyFill="1" applyBorder="1" applyAlignment="1" applyProtection="1">
      <alignment horizontal="center" vertical="center"/>
      <protection hidden="1"/>
    </xf>
    <xf numFmtId="164" fontId="26" fillId="4" borderId="2" xfId="0" applyFont="1" applyFill="1" applyBorder="1" applyAlignment="1" applyProtection="1">
      <alignment horizontal="left"/>
      <protection hidden="1"/>
    </xf>
    <xf numFmtId="164" fontId="26" fillId="4" borderId="19" xfId="0" applyFont="1" applyFill="1" applyBorder="1" applyAlignment="1" applyProtection="1">
      <alignment horizontal="left"/>
      <protection hidden="1"/>
    </xf>
    <xf numFmtId="164" fontId="26" fillId="4" borderId="80" xfId="0" applyFont="1" applyFill="1" applyBorder="1" applyAlignment="1" applyProtection="1">
      <alignment horizontal="left"/>
      <protection hidden="1"/>
    </xf>
    <xf numFmtId="164" fontId="26" fillId="4" borderId="22" xfId="0" applyFont="1" applyFill="1" applyBorder="1" applyAlignment="1" applyProtection="1">
      <alignment horizontal="left"/>
      <protection hidden="1"/>
    </xf>
    <xf numFmtId="164" fontId="26" fillId="4" borderId="62" xfId="0" applyFont="1" applyFill="1" applyBorder="1" applyAlignment="1" applyProtection="1">
      <alignment horizontal="left"/>
      <protection hidden="1"/>
    </xf>
    <xf numFmtId="164" fontId="15" fillId="4" borderId="3" xfId="0" applyFont="1" applyFill="1" applyBorder="1" applyAlignment="1" applyProtection="1">
      <alignment horizontal="left"/>
      <protection hidden="1"/>
    </xf>
    <xf numFmtId="164" fontId="15" fillId="4" borderId="43" xfId="0" applyFont="1" applyFill="1" applyBorder="1" applyAlignment="1" applyProtection="1">
      <alignment horizontal="left"/>
      <protection hidden="1"/>
    </xf>
    <xf numFmtId="164" fontId="15" fillId="4" borderId="49" xfId="0" applyFont="1" applyFill="1" applyBorder="1" applyAlignment="1" applyProtection="1">
      <alignment horizontal="left"/>
      <protection hidden="1"/>
    </xf>
    <xf numFmtId="164" fontId="15" fillId="4" borderId="60" xfId="0" applyFont="1" applyFill="1" applyBorder="1" applyAlignment="1" applyProtection="1">
      <alignment horizontal="left"/>
      <protection hidden="1"/>
    </xf>
    <xf numFmtId="164" fontId="7" fillId="2" borderId="0" xfId="0" applyFont="1" applyFill="1" applyAlignment="1" applyProtection="1">
      <alignment horizontal="center" vertical="center"/>
      <protection hidden="1"/>
    </xf>
    <xf numFmtId="164" fontId="26" fillId="4" borderId="16" xfId="0" applyFont="1" applyFill="1" applyBorder="1" applyAlignment="1" applyProtection="1">
      <alignment horizontal="right"/>
      <protection hidden="1"/>
    </xf>
    <xf numFmtId="164" fontId="26" fillId="4" borderId="68" xfId="0" applyFont="1" applyFill="1" applyBorder="1" applyAlignment="1" applyProtection="1">
      <alignment horizontal="right"/>
      <protection hidden="1"/>
    </xf>
    <xf numFmtId="164" fontId="62" fillId="4" borderId="41" xfId="0" applyFont="1" applyFill="1" applyBorder="1" applyAlignment="1" applyProtection="1">
      <alignment horizontal="center" vertical="center"/>
      <protection hidden="1"/>
    </xf>
    <xf numFmtId="164" fontId="62" fillId="4" borderId="14" xfId="0" applyFont="1" applyFill="1" applyBorder="1" applyAlignment="1" applyProtection="1">
      <alignment horizontal="center" vertical="center"/>
      <protection hidden="1"/>
    </xf>
    <xf numFmtId="164" fontId="62" fillId="4" borderId="15" xfId="0" applyFont="1" applyFill="1" applyBorder="1" applyAlignment="1" applyProtection="1">
      <alignment horizontal="center" vertical="center"/>
      <protection hidden="1"/>
    </xf>
    <xf numFmtId="164" fontId="26" fillId="4" borderId="2" xfId="0" applyFont="1" applyFill="1" applyBorder="1" applyAlignment="1" applyProtection="1">
      <alignment horizontal="right"/>
      <protection hidden="1"/>
    </xf>
    <xf numFmtId="164" fontId="26" fillId="4" borderId="34" xfId="0" applyFont="1" applyFill="1" applyBorder="1" applyAlignment="1" applyProtection="1">
      <alignment horizontal="right"/>
      <protection hidden="1"/>
    </xf>
    <xf numFmtId="164" fontId="26" fillId="4" borderId="48" xfId="0" applyFont="1" applyFill="1" applyBorder="1" applyAlignment="1" applyProtection="1">
      <alignment horizontal="right"/>
      <protection hidden="1"/>
    </xf>
    <xf numFmtId="164" fontId="26" fillId="4" borderId="19" xfId="0" applyFont="1" applyFill="1" applyBorder="1" applyAlignment="1" applyProtection="1">
      <alignment horizontal="center"/>
      <protection hidden="1"/>
    </xf>
    <xf numFmtId="164" fontId="26" fillId="4" borderId="7" xfId="0" applyFont="1" applyFill="1" applyBorder="1" applyAlignment="1" applyProtection="1">
      <alignment horizontal="center"/>
      <protection hidden="1"/>
    </xf>
    <xf numFmtId="164" fontId="26" fillId="4" borderId="80" xfId="0" applyFont="1" applyFill="1" applyBorder="1" applyAlignment="1" applyProtection="1">
      <alignment horizontal="center"/>
      <protection hidden="1"/>
    </xf>
    <xf numFmtId="164" fontId="26" fillId="4" borderId="36" xfId="0" applyFont="1" applyFill="1" applyBorder="1" applyAlignment="1" applyProtection="1">
      <alignment horizontal="right"/>
      <protection hidden="1"/>
    </xf>
    <xf numFmtId="164" fontId="26" fillId="4" borderId="76" xfId="0" applyFont="1" applyFill="1" applyBorder="1" applyAlignment="1" applyProtection="1">
      <alignment horizontal="right"/>
      <protection hidden="1"/>
    </xf>
    <xf numFmtId="164" fontId="26" fillId="0" borderId="10" xfId="0" applyFont="1" applyBorder="1" applyAlignment="1" applyProtection="1">
      <alignment horizontal="center"/>
      <protection hidden="1"/>
    </xf>
    <xf numFmtId="164" fontId="26" fillId="0" borderId="11" xfId="0" applyFont="1" applyBorder="1" applyAlignment="1" applyProtection="1">
      <alignment horizontal="center"/>
      <protection hidden="1"/>
    </xf>
    <xf numFmtId="164" fontId="26" fillId="0" borderId="12" xfId="0" applyFont="1" applyBorder="1" applyAlignment="1" applyProtection="1">
      <alignment horizontal="center"/>
      <protection hidden="1"/>
    </xf>
    <xf numFmtId="164" fontId="26" fillId="0" borderId="13" xfId="0" applyFont="1" applyBorder="1" applyAlignment="1" applyProtection="1">
      <alignment horizontal="center"/>
      <protection hidden="1"/>
    </xf>
    <xf numFmtId="164" fontId="26" fillId="0" borderId="57" xfId="0" applyFont="1" applyBorder="1" applyAlignment="1" applyProtection="1">
      <alignment horizontal="center"/>
      <protection hidden="1"/>
    </xf>
    <xf numFmtId="164" fontId="26" fillId="0" borderId="58" xfId="0" applyFont="1" applyBorder="1" applyAlignment="1" applyProtection="1">
      <alignment horizontal="center"/>
      <protection hidden="1"/>
    </xf>
    <xf numFmtId="164" fontId="26" fillId="4" borderId="41" xfId="0" applyFont="1" applyFill="1" applyBorder="1" applyAlignment="1" applyProtection="1">
      <alignment horizontal="center"/>
      <protection hidden="1"/>
    </xf>
    <xf numFmtId="164" fontId="26" fillId="4" borderId="15" xfId="0" applyFont="1" applyFill="1" applyBorder="1" applyAlignment="1" applyProtection="1">
      <alignment horizontal="center"/>
      <protection hidden="1"/>
    </xf>
    <xf numFmtId="164" fontId="26" fillId="4" borderId="54" xfId="0" applyFont="1" applyFill="1" applyBorder="1" applyAlignment="1" applyProtection="1">
      <alignment horizontal="right"/>
      <protection hidden="1"/>
    </xf>
    <xf numFmtId="164" fontId="26" fillId="4" borderId="75" xfId="0" applyFont="1" applyFill="1" applyBorder="1" applyAlignment="1" applyProtection="1">
      <alignment horizontal="right"/>
      <protection hidden="1"/>
    </xf>
    <xf numFmtId="164" fontId="15" fillId="0" borderId="39" xfId="0" applyFont="1" applyBorder="1" applyAlignment="1" applyProtection="1">
      <alignment horizontal="center"/>
      <protection locked="0"/>
    </xf>
    <xf numFmtId="164" fontId="15" fillId="0" borderId="55" xfId="0" applyFont="1" applyBorder="1" applyAlignment="1" applyProtection="1">
      <alignment horizontal="center"/>
      <protection locked="0"/>
    </xf>
    <xf numFmtId="164" fontId="15" fillId="0" borderId="56" xfId="0" applyFont="1" applyBorder="1" applyAlignment="1" applyProtection="1">
      <alignment horizontal="center"/>
      <protection locked="0"/>
    </xf>
    <xf numFmtId="164" fontId="26" fillId="4" borderId="35" xfId="0" applyFont="1" applyFill="1" applyBorder="1" applyAlignment="1" applyProtection="1">
      <alignment horizontal="right"/>
      <protection hidden="1"/>
    </xf>
    <xf numFmtId="164" fontId="26" fillId="4" borderId="67" xfId="0" applyFont="1" applyFill="1" applyBorder="1" applyAlignment="1" applyProtection="1">
      <alignment horizontal="right"/>
      <protection hidden="1"/>
    </xf>
    <xf numFmtId="1" fontId="15" fillId="0" borderId="20" xfId="0" applyNumberFormat="1" applyFont="1" applyBorder="1" applyAlignment="1" applyProtection="1">
      <alignment horizontal="center" vertical="center"/>
      <protection locked="0"/>
    </xf>
    <xf numFmtId="1" fontId="15" fillId="0" borderId="30" xfId="0" applyNumberFormat="1" applyFont="1" applyBorder="1" applyAlignment="1" applyProtection="1">
      <alignment horizontal="center" vertical="center"/>
      <protection locked="0"/>
    </xf>
    <xf numFmtId="164" fontId="26" fillId="4" borderId="18" xfId="0" applyFont="1" applyFill="1" applyBorder="1" applyAlignment="1" applyProtection="1">
      <alignment horizontal="left"/>
      <protection hidden="1"/>
    </xf>
    <xf numFmtId="164" fontId="26" fillId="4" borderId="52" xfId="0" applyFont="1" applyFill="1" applyBorder="1" applyAlignment="1" applyProtection="1">
      <alignment horizontal="left"/>
      <protection hidden="1"/>
    </xf>
    <xf numFmtId="164" fontId="26" fillId="4" borderId="20" xfId="0" applyFont="1" applyFill="1" applyBorder="1" applyAlignment="1" applyProtection="1">
      <alignment horizontal="left"/>
      <protection hidden="1"/>
    </xf>
    <xf numFmtId="164" fontId="26" fillId="4" borderId="30" xfId="0" applyFont="1" applyFill="1" applyBorder="1" applyAlignment="1" applyProtection="1">
      <alignment horizontal="left"/>
      <protection hidden="1"/>
    </xf>
    <xf numFmtId="164" fontId="26" fillId="4" borderId="20" xfId="0" applyFont="1" applyFill="1" applyBorder="1" applyAlignment="1" applyProtection="1">
      <alignment horizontal="left" vertical="center"/>
      <protection hidden="1"/>
    </xf>
    <xf numFmtId="164" fontId="26" fillId="4" borderId="23" xfId="0" applyFont="1" applyFill="1" applyBorder="1" applyAlignment="1" applyProtection="1">
      <alignment horizontal="left" vertical="center"/>
      <protection hidden="1"/>
    </xf>
    <xf numFmtId="164" fontId="15" fillId="4" borderId="39" xfId="0" applyFont="1" applyFill="1" applyBorder="1" applyAlignment="1" applyProtection="1">
      <alignment horizontal="center" vertical="center"/>
      <protection hidden="1"/>
    </xf>
    <xf numFmtId="164" fontId="15" fillId="4" borderId="75" xfId="0" applyFont="1" applyFill="1" applyBorder="1" applyAlignment="1" applyProtection="1">
      <alignment horizontal="center" vertical="center"/>
      <protection hidden="1"/>
    </xf>
    <xf numFmtId="1" fontId="15" fillId="0" borderId="39" xfId="0" applyNumberFormat="1" applyFont="1" applyBorder="1" applyAlignment="1" applyProtection="1">
      <alignment horizontal="center"/>
      <protection locked="0"/>
    </xf>
    <xf numFmtId="1" fontId="15" fillId="0" borderId="55" xfId="0" applyNumberFormat="1" applyFont="1" applyBorder="1" applyAlignment="1" applyProtection="1">
      <alignment horizontal="center"/>
      <protection locked="0"/>
    </xf>
    <xf numFmtId="1" fontId="15" fillId="0" borderId="75" xfId="0" applyNumberFormat="1" applyFont="1" applyBorder="1" applyAlignment="1" applyProtection="1">
      <alignment horizontal="center"/>
      <protection locked="0"/>
    </xf>
    <xf numFmtId="164" fontId="26" fillId="4" borderId="8" xfId="0" applyFont="1" applyFill="1" applyBorder="1" applyAlignment="1" applyProtection="1">
      <alignment horizontal="center"/>
      <protection hidden="1"/>
    </xf>
    <xf numFmtId="164" fontId="26" fillId="4" borderId="44" xfId="0" applyFont="1" applyFill="1" applyBorder="1" applyAlignment="1">
      <alignment horizontal="center" vertical="center" wrapText="1"/>
    </xf>
    <xf numFmtId="164" fontId="26" fillId="4" borderId="73" xfId="0" applyFont="1" applyFill="1" applyBorder="1" applyAlignment="1">
      <alignment horizontal="center" vertical="center" wrapText="1"/>
    </xf>
    <xf numFmtId="164" fontId="26" fillId="4" borderId="45" xfId="0" applyFont="1" applyFill="1" applyBorder="1" applyAlignment="1">
      <alignment horizontal="center" vertical="center" wrapText="1"/>
    </xf>
    <xf numFmtId="164" fontId="10" fillId="4" borderId="41" xfId="0" applyFont="1" applyFill="1" applyBorder="1" applyAlignment="1" applyProtection="1">
      <alignment horizontal="center"/>
      <protection hidden="1"/>
    </xf>
    <xf numFmtId="164" fontId="10" fillId="4" borderId="14" xfId="0" applyFont="1" applyFill="1" applyBorder="1" applyAlignment="1" applyProtection="1">
      <alignment horizontal="center"/>
      <protection hidden="1"/>
    </xf>
    <xf numFmtId="164" fontId="10" fillId="4" borderId="15" xfId="0" applyFont="1" applyFill="1" applyBorder="1" applyAlignment="1" applyProtection="1">
      <alignment horizontal="center"/>
      <protection hidden="1"/>
    </xf>
    <xf numFmtId="164" fontId="10" fillId="2" borderId="10" xfId="0" applyFont="1" applyFill="1" applyBorder="1" applyAlignment="1" applyProtection="1">
      <alignment horizontal="center"/>
      <protection hidden="1"/>
    </xf>
    <xf numFmtId="164" fontId="10" fillId="2" borderId="7" xfId="0" applyFont="1" applyFill="1" applyBorder="1" applyAlignment="1" applyProtection="1">
      <alignment horizontal="center"/>
      <protection hidden="1"/>
    </xf>
    <xf numFmtId="164" fontId="10" fillId="2" borderId="11" xfId="0" applyFont="1" applyFill="1" applyBorder="1" applyAlignment="1" applyProtection="1">
      <alignment horizontal="center"/>
      <protection hidden="1"/>
    </xf>
    <xf numFmtId="164" fontId="26" fillId="4" borderId="81" xfId="0" applyFont="1" applyFill="1" applyBorder="1" applyAlignment="1" applyProtection="1">
      <alignment horizontal="right"/>
      <protection hidden="1"/>
    </xf>
    <xf numFmtId="164" fontId="26" fillId="4" borderId="44" xfId="0" applyFont="1" applyFill="1" applyBorder="1" applyAlignment="1" applyProtection="1">
      <alignment horizontal="right" vertical="center"/>
      <protection hidden="1"/>
    </xf>
    <xf numFmtId="164" fontId="26" fillId="4" borderId="45" xfId="0" applyFont="1" applyFill="1" applyBorder="1" applyAlignment="1" applyProtection="1">
      <alignment horizontal="right" vertical="center"/>
      <protection hidden="1"/>
    </xf>
    <xf numFmtId="1" fontId="26" fillId="3" borderId="10" xfId="0" applyNumberFormat="1" applyFont="1" applyFill="1" applyBorder="1" applyAlignment="1" applyProtection="1">
      <alignment horizontal="left" vertical="center"/>
      <protection hidden="1"/>
    </xf>
    <xf numFmtId="1" fontId="26" fillId="3" borderId="7" xfId="0" applyNumberFormat="1" applyFont="1" applyFill="1" applyBorder="1" applyAlignment="1" applyProtection="1">
      <alignment horizontal="left" vertical="center"/>
      <protection hidden="1"/>
    </xf>
    <xf numFmtId="1" fontId="26" fillId="3" borderId="11" xfId="0" applyNumberFormat="1" applyFont="1" applyFill="1" applyBorder="1" applyAlignment="1" applyProtection="1">
      <alignment horizontal="left" vertical="center"/>
      <protection hidden="1"/>
    </xf>
    <xf numFmtId="1" fontId="26" fillId="3" borderId="57" xfId="0" applyNumberFormat="1" applyFont="1" applyFill="1" applyBorder="1" applyAlignment="1" applyProtection="1">
      <alignment horizontal="left" vertical="center"/>
      <protection hidden="1"/>
    </xf>
    <xf numFmtId="1" fontId="26" fillId="3" borderId="8" xfId="0" applyNumberFormat="1" applyFont="1" applyFill="1" applyBorder="1" applyAlignment="1" applyProtection="1">
      <alignment horizontal="left" vertical="center"/>
      <protection hidden="1"/>
    </xf>
    <xf numFmtId="1" fontId="26" fillId="3" borderId="58" xfId="0" applyNumberFormat="1" applyFont="1" applyFill="1" applyBorder="1" applyAlignment="1" applyProtection="1">
      <alignment horizontal="left" vertical="center"/>
      <protection hidden="1"/>
    </xf>
    <xf numFmtId="164" fontId="26" fillId="4" borderId="55" xfId="0" applyFont="1" applyFill="1" applyBorder="1" applyAlignment="1" applyProtection="1">
      <alignment horizontal="right"/>
      <protection hidden="1"/>
    </xf>
    <xf numFmtId="164" fontId="26" fillId="4" borderId="56" xfId="0" applyFont="1" applyFill="1" applyBorder="1" applyAlignment="1" applyProtection="1">
      <alignment horizontal="right"/>
      <protection hidden="1"/>
    </xf>
    <xf numFmtId="1" fontId="26" fillId="3" borderId="36" xfId="0" applyNumberFormat="1" applyFont="1" applyFill="1" applyBorder="1" applyAlignment="1" applyProtection="1">
      <alignment horizontal="center"/>
      <protection hidden="1"/>
    </xf>
    <xf numFmtId="1" fontId="26" fillId="3" borderId="68" xfId="0" applyNumberFormat="1" applyFont="1" applyFill="1" applyBorder="1" applyAlignment="1" applyProtection="1">
      <alignment horizontal="center"/>
      <protection hidden="1"/>
    </xf>
    <xf numFmtId="1" fontId="26" fillId="3" borderId="10" xfId="0" applyNumberFormat="1" applyFont="1" applyFill="1" applyBorder="1" applyAlignment="1" applyProtection="1">
      <alignment horizontal="center"/>
      <protection hidden="1"/>
    </xf>
    <xf numFmtId="1" fontId="26" fillId="3" borderId="80" xfId="0" applyNumberFormat="1" applyFont="1" applyFill="1" applyBorder="1" applyAlignment="1" applyProtection="1">
      <alignment horizontal="center"/>
      <protection hidden="1"/>
    </xf>
    <xf numFmtId="164" fontId="26" fillId="4" borderId="79" xfId="0" applyFont="1" applyFill="1" applyBorder="1" applyAlignment="1" applyProtection="1">
      <alignment horizontal="center"/>
      <protection hidden="1"/>
    </xf>
    <xf numFmtId="164" fontId="26" fillId="4" borderId="82" xfId="0" applyFont="1" applyFill="1" applyBorder="1" applyAlignment="1" applyProtection="1">
      <alignment horizontal="center"/>
      <protection hidden="1"/>
    </xf>
    <xf numFmtId="164" fontId="26" fillId="4" borderId="36" xfId="0" applyFont="1" applyFill="1" applyBorder="1" applyAlignment="1" applyProtection="1">
      <alignment horizontal="center"/>
      <protection hidden="1"/>
    </xf>
    <xf numFmtId="164" fontId="26" fillId="4" borderId="77" xfId="0" applyFont="1" applyFill="1" applyBorder="1" applyAlignment="1" applyProtection="1">
      <alignment horizontal="center"/>
      <protection hidden="1"/>
    </xf>
    <xf numFmtId="164" fontId="26" fillId="3" borderId="36" xfId="0" applyFont="1" applyFill="1" applyBorder="1" applyAlignment="1" applyProtection="1">
      <alignment horizontal="center"/>
      <protection hidden="1"/>
    </xf>
    <xf numFmtId="164" fontId="26" fillId="3" borderId="76" xfId="0" applyFont="1" applyFill="1" applyBorder="1" applyAlignment="1" applyProtection="1">
      <alignment horizontal="center"/>
      <protection hidden="1"/>
    </xf>
    <xf numFmtId="164" fontId="26" fillId="3" borderId="77" xfId="0" applyFont="1" applyFill="1" applyBorder="1" applyAlignment="1" applyProtection="1">
      <alignment horizontal="center"/>
      <protection hidden="1"/>
    </xf>
    <xf numFmtId="1" fontId="26" fillId="3" borderId="77" xfId="0" applyNumberFormat="1" applyFont="1" applyFill="1" applyBorder="1" applyAlignment="1" applyProtection="1">
      <alignment horizontal="center"/>
      <protection hidden="1"/>
    </xf>
    <xf numFmtId="1" fontId="26" fillId="4" borderId="41" xfId="0" applyNumberFormat="1" applyFont="1" applyFill="1" applyBorder="1" applyAlignment="1" applyProtection="1">
      <alignment horizontal="center"/>
      <protection hidden="1"/>
    </xf>
    <xf numFmtId="1" fontId="26" fillId="4" borderId="15" xfId="0" applyNumberFormat="1" applyFont="1" applyFill="1" applyBorder="1" applyAlignment="1" applyProtection="1">
      <alignment horizontal="center"/>
      <protection hidden="1"/>
    </xf>
    <xf numFmtId="1" fontId="26" fillId="3" borderId="54" xfId="0" applyNumberFormat="1" applyFont="1" applyFill="1" applyBorder="1" applyAlignment="1" applyProtection="1">
      <alignment horizontal="center"/>
      <protection hidden="1"/>
    </xf>
    <xf numFmtId="1" fontId="26" fillId="3" borderId="56" xfId="0" applyNumberFormat="1" applyFont="1" applyFill="1" applyBorder="1" applyAlignment="1" applyProtection="1">
      <alignment horizontal="center"/>
      <protection hidden="1"/>
    </xf>
    <xf numFmtId="164" fontId="26" fillId="3" borderId="54" xfId="0" applyFont="1" applyFill="1" applyBorder="1" applyAlignment="1" applyProtection="1">
      <alignment horizontal="center"/>
      <protection hidden="1"/>
    </xf>
    <xf numFmtId="164" fontId="26" fillId="3" borderId="55" xfId="0" applyFont="1" applyFill="1" applyBorder="1" applyAlignment="1" applyProtection="1">
      <alignment horizontal="center"/>
      <protection hidden="1"/>
    </xf>
    <xf numFmtId="164" fontId="26" fillId="3" borderId="56" xfId="0" applyFont="1" applyFill="1" applyBorder="1" applyAlignment="1" applyProtection="1">
      <alignment horizontal="center"/>
      <protection hidden="1"/>
    </xf>
    <xf numFmtId="164" fontId="26" fillId="4" borderId="14" xfId="0" applyFont="1" applyFill="1" applyBorder="1" applyAlignment="1" applyProtection="1">
      <alignment horizontal="center"/>
      <protection hidden="1"/>
    </xf>
    <xf numFmtId="1" fontId="26" fillId="4" borderId="42" xfId="0" applyNumberFormat="1" applyFont="1" applyFill="1" applyBorder="1" applyAlignment="1" applyProtection="1">
      <alignment horizontal="center"/>
      <protection hidden="1"/>
    </xf>
    <xf numFmtId="1" fontId="26" fillId="4" borderId="40" xfId="0" applyNumberFormat="1" applyFont="1" applyFill="1" applyBorder="1" applyAlignment="1" applyProtection="1">
      <alignment horizontal="center"/>
      <protection hidden="1"/>
    </xf>
    <xf numFmtId="1" fontId="26" fillId="3" borderId="75" xfId="0" applyNumberFormat="1" applyFont="1" applyFill="1" applyBorder="1" applyAlignment="1" applyProtection="1">
      <alignment horizontal="center"/>
      <protection hidden="1"/>
    </xf>
    <xf numFmtId="164" fontId="15" fillId="2" borderId="41" xfId="0" applyFont="1" applyFill="1" applyBorder="1" applyAlignment="1" applyProtection="1">
      <alignment horizontal="center"/>
      <protection hidden="1"/>
    </xf>
    <xf numFmtId="164" fontId="15" fillId="2" borderId="14" xfId="0" applyFont="1" applyFill="1" applyBorder="1" applyAlignment="1" applyProtection="1">
      <alignment horizontal="center"/>
      <protection hidden="1"/>
    </xf>
    <xf numFmtId="164" fontId="15" fillId="2" borderId="15" xfId="0" applyFont="1" applyFill="1" applyBorder="1" applyAlignment="1" applyProtection="1">
      <alignment horizontal="center"/>
      <protection hidden="1"/>
    </xf>
    <xf numFmtId="1" fontId="26" fillId="10" borderId="50" xfId="0" applyNumberFormat="1" applyFont="1" applyFill="1" applyBorder="1" applyAlignment="1" applyProtection="1">
      <alignment horizontal="center"/>
      <protection hidden="1"/>
    </xf>
    <xf numFmtId="1" fontId="26" fillId="3" borderId="35" xfId="0" applyNumberFormat="1" applyFont="1" applyFill="1" applyBorder="1" applyAlignment="1" applyProtection="1">
      <alignment horizontal="center"/>
      <protection hidden="1"/>
    </xf>
    <xf numFmtId="1" fontId="26" fillId="3" borderId="81" xfId="0" applyNumberFormat="1" applyFont="1" applyFill="1" applyBorder="1" applyAlignment="1" applyProtection="1">
      <alignment horizontal="center"/>
      <protection hidden="1"/>
    </xf>
    <xf numFmtId="1" fontId="26" fillId="10" borderId="41" xfId="0" applyNumberFormat="1" applyFont="1" applyFill="1" applyBorder="1" applyAlignment="1" applyProtection="1">
      <alignment horizontal="center"/>
      <protection hidden="1"/>
    </xf>
    <xf numFmtId="1" fontId="26" fillId="10" borderId="15" xfId="0" applyNumberFormat="1" applyFont="1" applyFill="1" applyBorder="1" applyAlignment="1" applyProtection="1">
      <alignment horizontal="center"/>
      <protection hidden="1"/>
    </xf>
    <xf numFmtId="164" fontId="26" fillId="3" borderId="35" xfId="0" applyFont="1" applyFill="1" applyBorder="1" applyAlignment="1" applyProtection="1">
      <alignment horizontal="center"/>
      <protection hidden="1"/>
    </xf>
    <xf numFmtId="164" fontId="26" fillId="3" borderId="67" xfId="0" applyFont="1" applyFill="1" applyBorder="1" applyAlignment="1" applyProtection="1">
      <alignment horizontal="center"/>
      <protection hidden="1"/>
    </xf>
    <xf numFmtId="164" fontId="26" fillId="3" borderId="81" xfId="0" applyFont="1" applyFill="1" applyBorder="1" applyAlignment="1" applyProtection="1">
      <alignment horizontal="center"/>
      <protection hidden="1"/>
    </xf>
    <xf numFmtId="1" fontId="26" fillId="4" borderId="14" xfId="0" applyNumberFormat="1" applyFont="1" applyFill="1" applyBorder="1" applyAlignment="1" applyProtection="1">
      <alignment horizontal="center"/>
      <protection hidden="1"/>
    </xf>
    <xf numFmtId="164" fontId="26" fillId="2" borderId="73" xfId="0" applyFont="1" applyFill="1" applyBorder="1" applyAlignment="1" applyProtection="1">
      <alignment horizontal="center"/>
      <protection hidden="1"/>
    </xf>
    <xf numFmtId="164" fontId="26" fillId="2" borderId="45" xfId="0" applyFont="1" applyFill="1" applyBorder="1" applyAlignment="1" applyProtection="1">
      <alignment horizontal="center"/>
      <protection hidden="1"/>
    </xf>
    <xf numFmtId="1" fontId="26" fillId="3" borderId="79" xfId="0" applyNumberFormat="1" applyFont="1" applyFill="1" applyBorder="1" applyAlignment="1" applyProtection="1">
      <alignment horizontal="center"/>
      <protection hidden="1"/>
    </xf>
    <xf numFmtId="1" fontId="26" fillId="3" borderId="60" xfId="0" applyNumberFormat="1" applyFont="1" applyFill="1" applyBorder="1" applyAlignment="1" applyProtection="1">
      <alignment horizontal="center"/>
      <protection hidden="1"/>
    </xf>
    <xf numFmtId="1" fontId="26" fillId="2" borderId="10" xfId="0" applyNumberFormat="1" applyFont="1" applyFill="1" applyBorder="1" applyAlignment="1" applyProtection="1">
      <alignment horizontal="center"/>
      <protection hidden="1"/>
    </xf>
    <xf numFmtId="1" fontId="26" fillId="2" borderId="7" xfId="0" applyNumberFormat="1" applyFont="1" applyFill="1" applyBorder="1" applyAlignment="1" applyProtection="1">
      <alignment horizontal="center"/>
      <protection hidden="1"/>
    </xf>
    <xf numFmtId="1" fontId="26" fillId="2" borderId="11" xfId="0" applyNumberFormat="1" applyFont="1" applyFill="1" applyBorder="1" applyAlignment="1" applyProtection="1">
      <alignment horizontal="center"/>
      <protection hidden="1"/>
    </xf>
    <xf numFmtId="1" fontId="26" fillId="2" borderId="57" xfId="0" applyNumberFormat="1" applyFont="1" applyFill="1" applyBorder="1" applyAlignment="1" applyProtection="1">
      <alignment horizontal="center"/>
      <protection hidden="1"/>
    </xf>
    <xf numFmtId="1" fontId="26" fillId="2" borderId="8" xfId="0" applyNumberFormat="1" applyFont="1" applyFill="1" applyBorder="1" applyAlignment="1" applyProtection="1">
      <alignment horizontal="center"/>
      <protection hidden="1"/>
    </xf>
    <xf numFmtId="1" fontId="26" fillId="2" borderId="58" xfId="0" applyNumberFormat="1" applyFont="1" applyFill="1" applyBorder="1" applyAlignment="1" applyProtection="1">
      <alignment horizontal="center"/>
      <protection hidden="1"/>
    </xf>
    <xf numFmtId="1" fontId="26" fillId="10" borderId="63" xfId="0" applyNumberFormat="1" applyFont="1" applyFill="1" applyBorder="1" applyAlignment="1" applyProtection="1">
      <alignment horizontal="center"/>
      <protection hidden="1"/>
    </xf>
    <xf numFmtId="10" fontId="26" fillId="2" borderId="35" xfId="0" applyNumberFormat="1" applyFont="1" applyFill="1" applyBorder="1" applyAlignment="1" applyProtection="1">
      <alignment horizontal="center"/>
      <protection hidden="1"/>
    </xf>
    <xf numFmtId="10" fontId="26" fillId="2" borderId="67" xfId="0" applyNumberFormat="1" applyFont="1" applyFill="1" applyBorder="1" applyAlignment="1" applyProtection="1">
      <alignment horizontal="center"/>
      <protection hidden="1"/>
    </xf>
    <xf numFmtId="10" fontId="26" fillId="2" borderId="81" xfId="0" applyNumberFormat="1" applyFont="1" applyFill="1" applyBorder="1" applyAlignment="1" applyProtection="1">
      <alignment horizontal="center"/>
      <protection hidden="1"/>
    </xf>
    <xf numFmtId="1" fontId="26" fillId="3" borderId="48" xfId="0" applyNumberFormat="1" applyFont="1" applyFill="1" applyBorder="1" applyAlignment="1" applyProtection="1">
      <alignment horizontal="center"/>
      <protection hidden="1"/>
    </xf>
    <xf numFmtId="1" fontId="26" fillId="10" borderId="57" xfId="0" applyNumberFormat="1" applyFont="1" applyFill="1" applyBorder="1" applyAlignment="1" applyProtection="1">
      <alignment horizontal="center"/>
      <protection hidden="1"/>
    </xf>
    <xf numFmtId="1" fontId="26" fillId="10" borderId="58" xfId="0" applyNumberFormat="1" applyFont="1" applyFill="1" applyBorder="1" applyAlignment="1" applyProtection="1">
      <alignment horizontal="center"/>
      <protection hidden="1"/>
    </xf>
    <xf numFmtId="1" fontId="26" fillId="3" borderId="41" xfId="0" applyNumberFormat="1" applyFont="1" applyFill="1" applyBorder="1" applyAlignment="1" applyProtection="1">
      <alignment horizontal="center"/>
      <protection hidden="1"/>
    </xf>
    <xf numFmtId="1" fontId="26" fillId="3" borderId="15" xfId="0" applyNumberFormat="1" applyFont="1" applyFill="1" applyBorder="1" applyAlignment="1" applyProtection="1">
      <alignment horizontal="center"/>
      <protection hidden="1"/>
    </xf>
    <xf numFmtId="164" fontId="26" fillId="10" borderId="41" xfId="0" applyFont="1" applyFill="1" applyBorder="1" applyAlignment="1" applyProtection="1">
      <alignment horizontal="center"/>
      <protection hidden="1"/>
    </xf>
    <xf numFmtId="164" fontId="26" fillId="10" borderId="14" xfId="0" applyFont="1" applyFill="1" applyBorder="1" applyAlignment="1" applyProtection="1">
      <alignment horizontal="center"/>
      <protection hidden="1"/>
    </xf>
    <xf numFmtId="164" fontId="26" fillId="10" borderId="15" xfId="0" applyFont="1" applyFill="1" applyBorder="1" applyAlignment="1" applyProtection="1">
      <alignment horizontal="center"/>
      <protection hidden="1"/>
    </xf>
    <xf numFmtId="164" fontId="26" fillId="2" borderId="33" xfId="0" applyFont="1" applyFill="1" applyBorder="1" applyAlignment="1" applyProtection="1">
      <alignment horizontal="center"/>
      <protection hidden="1"/>
    </xf>
    <xf numFmtId="164" fontId="26" fillId="2" borderId="12" xfId="0" applyFont="1" applyFill="1" applyBorder="1" applyAlignment="1" applyProtection="1">
      <alignment horizontal="center"/>
      <protection hidden="1"/>
    </xf>
    <xf numFmtId="164" fontId="26" fillId="2" borderId="57" xfId="0" applyFont="1" applyFill="1" applyBorder="1" applyAlignment="1" applyProtection="1">
      <alignment horizontal="center"/>
      <protection hidden="1"/>
    </xf>
    <xf numFmtId="164" fontId="26" fillId="4" borderId="10" xfId="0" applyFont="1" applyFill="1" applyBorder="1" applyAlignment="1" applyProtection="1">
      <alignment horizontal="center"/>
      <protection hidden="1"/>
    </xf>
    <xf numFmtId="164" fontId="26" fillId="4" borderId="11" xfId="0" applyFont="1" applyFill="1" applyBorder="1" applyAlignment="1" applyProtection="1">
      <alignment horizontal="center"/>
      <protection hidden="1"/>
    </xf>
    <xf numFmtId="164" fontId="26" fillId="4" borderId="35" xfId="0" applyFont="1" applyFill="1" applyBorder="1" applyAlignment="1" applyProtection="1">
      <alignment horizontal="center"/>
      <protection hidden="1"/>
    </xf>
    <xf numFmtId="164" fontId="26" fillId="4" borderId="81" xfId="0" applyFont="1" applyFill="1" applyBorder="1" applyAlignment="1" applyProtection="1">
      <alignment horizontal="center"/>
      <protection hidden="1"/>
    </xf>
    <xf numFmtId="2" fontId="11" fillId="4" borderId="17" xfId="0" applyNumberFormat="1" applyFont="1" applyFill="1" applyBorder="1" applyAlignment="1" applyProtection="1">
      <alignment horizontal="center" vertical="center"/>
      <protection hidden="1"/>
    </xf>
    <xf numFmtId="2" fontId="11" fillId="4" borderId="30" xfId="0" applyNumberFormat="1" applyFont="1" applyFill="1" applyBorder="1" applyAlignment="1" applyProtection="1">
      <alignment horizontal="center" vertical="center"/>
      <protection hidden="1"/>
    </xf>
    <xf numFmtId="164" fontId="47" fillId="13" borderId="16" xfId="0" applyFont="1" applyFill="1" applyBorder="1" applyAlignment="1" applyProtection="1">
      <alignment horizontal="center" vertical="top"/>
      <protection hidden="1"/>
    </xf>
    <xf numFmtId="164" fontId="47" fillId="13" borderId="68" xfId="0" applyFont="1" applyFill="1" applyBorder="1" applyAlignment="1" applyProtection="1">
      <alignment horizontal="center" vertical="top"/>
      <protection hidden="1"/>
    </xf>
    <xf numFmtId="164" fontId="47" fillId="13" borderId="16" xfId="0" applyFont="1" applyFill="1" applyBorder="1" applyAlignment="1" applyProtection="1">
      <alignment horizontal="center"/>
      <protection hidden="1"/>
    </xf>
    <xf numFmtId="164" fontId="47" fillId="13" borderId="68" xfId="0" applyFont="1" applyFill="1" applyBorder="1" applyAlignment="1" applyProtection="1">
      <alignment horizontal="center"/>
      <protection hidden="1"/>
    </xf>
    <xf numFmtId="164" fontId="47" fillId="13" borderId="76" xfId="0" applyFont="1" applyFill="1" applyBorder="1" applyAlignment="1" applyProtection="1">
      <alignment horizontal="center" vertical="top"/>
      <protection hidden="1"/>
    </xf>
    <xf numFmtId="164" fontId="47" fillId="13" borderId="76" xfId="0" applyFont="1" applyFill="1" applyBorder="1" applyAlignment="1" applyProtection="1">
      <alignment horizontal="center"/>
      <protection hidden="1"/>
    </xf>
    <xf numFmtId="0" fontId="11" fillId="4" borderId="17" xfId="0" applyNumberFormat="1" applyFont="1" applyFill="1" applyBorder="1" applyAlignment="1" applyProtection="1">
      <alignment horizontal="center" vertical="center" wrapText="1"/>
      <protection hidden="1"/>
    </xf>
    <xf numFmtId="0" fontId="11" fillId="4" borderId="30" xfId="0" applyNumberFormat="1" applyFont="1" applyFill="1" applyBorder="1" applyAlignment="1" applyProtection="1">
      <alignment horizontal="center" vertical="center"/>
      <protection hidden="1"/>
    </xf>
    <xf numFmtId="2" fontId="11" fillId="4" borderId="17" xfId="0" applyNumberFormat="1" applyFont="1" applyFill="1" applyBorder="1" applyAlignment="1" applyProtection="1">
      <alignment horizontal="center" vertical="center" wrapText="1"/>
      <protection hidden="1"/>
    </xf>
    <xf numFmtId="0" fontId="11" fillId="4" borderId="16" xfId="0" applyNumberFormat="1" applyFont="1" applyFill="1" applyBorder="1" applyAlignment="1" applyProtection="1">
      <alignment horizontal="center" vertical="center"/>
      <protection hidden="1"/>
    </xf>
    <xf numFmtId="0" fontId="11" fillId="4" borderId="76" xfId="0" applyNumberFormat="1" applyFont="1" applyFill="1" applyBorder="1" applyAlignment="1" applyProtection="1">
      <alignment horizontal="center" vertical="center"/>
      <protection hidden="1"/>
    </xf>
    <xf numFmtId="0" fontId="11" fillId="4" borderId="68" xfId="0" applyNumberFormat="1" applyFont="1" applyFill="1" applyBorder="1" applyAlignment="1" applyProtection="1">
      <alignment horizontal="center" vertical="center"/>
      <protection hidden="1"/>
    </xf>
    <xf numFmtId="174" fontId="11" fillId="4" borderId="17" xfId="0" applyNumberFormat="1" applyFont="1" applyFill="1" applyBorder="1" applyAlignment="1" applyProtection="1">
      <alignment horizontal="center" vertical="center" wrapText="1"/>
      <protection hidden="1"/>
    </xf>
    <xf numFmtId="174" fontId="11" fillId="4" borderId="30" xfId="0" applyNumberFormat="1" applyFont="1" applyFill="1" applyBorder="1" applyAlignment="1" applyProtection="1">
      <alignment horizontal="center" vertical="center"/>
      <protection hidden="1"/>
    </xf>
    <xf numFmtId="174" fontId="11" fillId="2" borderId="18" xfId="0" applyNumberFormat="1" applyFont="1" applyFill="1" applyBorder="1" applyAlignment="1" applyProtection="1">
      <alignment horizontal="center"/>
      <protection hidden="1"/>
    </xf>
    <xf numFmtId="174" fontId="11" fillId="2" borderId="52" xfId="0" applyNumberFormat="1" applyFont="1" applyFill="1" applyBorder="1" applyAlignment="1" applyProtection="1">
      <alignment horizontal="center"/>
      <protection hidden="1"/>
    </xf>
    <xf numFmtId="174" fontId="11" fillId="2" borderId="3" xfId="0" applyNumberFormat="1" applyFont="1" applyFill="1" applyBorder="1" applyAlignment="1" applyProtection="1">
      <alignment horizontal="center"/>
      <protection hidden="1"/>
    </xf>
    <xf numFmtId="174" fontId="11" fillId="2" borderId="43" xfId="0" applyNumberFormat="1" applyFont="1" applyFill="1" applyBorder="1" applyAlignment="1" applyProtection="1">
      <alignment horizontal="center"/>
      <protection hidden="1"/>
    </xf>
    <xf numFmtId="174" fontId="11" fillId="2" borderId="49" xfId="0" applyNumberFormat="1" applyFont="1" applyFill="1" applyBorder="1" applyAlignment="1" applyProtection="1">
      <alignment horizontal="center"/>
      <protection hidden="1"/>
    </xf>
    <xf numFmtId="174" fontId="11" fillId="2" borderId="60" xfId="0" applyNumberFormat="1" applyFont="1" applyFill="1" applyBorder="1" applyAlignment="1" applyProtection="1">
      <alignment horizontal="center"/>
      <protection hidden="1"/>
    </xf>
    <xf numFmtId="174" fontId="11" fillId="4" borderId="17" xfId="0" applyNumberFormat="1" applyFont="1" applyFill="1" applyBorder="1" applyAlignment="1" applyProtection="1">
      <alignment horizontal="center" vertical="center"/>
      <protection hidden="1"/>
    </xf>
    <xf numFmtId="164" fontId="65" fillId="13" borderId="76" xfId="0" applyFont="1" applyFill="1" applyBorder="1" applyProtection="1">
      <protection hidden="1"/>
    </xf>
    <xf numFmtId="164" fontId="65" fillId="13" borderId="68" xfId="0" applyFont="1" applyFill="1" applyBorder="1" applyProtection="1">
      <protection hidden="1"/>
    </xf>
    <xf numFmtId="164" fontId="57" fillId="0" borderId="3" xfId="0" applyFont="1" applyBorder="1" applyAlignment="1" applyProtection="1">
      <alignment horizontal="left" wrapText="1" indent="2"/>
      <protection hidden="1"/>
    </xf>
    <xf numFmtId="164" fontId="57" fillId="0" borderId="0" xfId="0" applyFont="1" applyAlignment="1" applyProtection="1">
      <alignment horizontal="left" wrapText="1" indent="2"/>
      <protection hidden="1"/>
    </xf>
    <xf numFmtId="164" fontId="57" fillId="0" borderId="43" xfId="0" applyFont="1" applyBorder="1" applyAlignment="1" applyProtection="1">
      <alignment horizontal="left" wrapText="1" indent="2"/>
      <protection hidden="1"/>
    </xf>
    <xf numFmtId="164" fontId="57" fillId="0" borderId="49" xfId="0" applyFont="1" applyBorder="1" applyAlignment="1" applyProtection="1">
      <alignment horizontal="left" wrapText="1" indent="2"/>
      <protection hidden="1"/>
    </xf>
    <xf numFmtId="164" fontId="57" fillId="0" borderId="59" xfId="0" applyFont="1" applyBorder="1" applyAlignment="1" applyProtection="1">
      <alignment horizontal="left" wrapText="1" indent="2"/>
      <protection hidden="1"/>
    </xf>
    <xf numFmtId="164" fontId="57" fillId="0" borderId="60" xfId="0" applyFont="1" applyBorder="1" applyAlignment="1" applyProtection="1">
      <alignment horizontal="left" wrapText="1" indent="2"/>
      <protection hidden="1"/>
    </xf>
    <xf numFmtId="164" fontId="10" fillId="0" borderId="16" xfId="0" applyFont="1" applyBorder="1" applyAlignment="1" applyProtection="1">
      <alignment horizontal="center" vertical="center"/>
      <protection hidden="1"/>
    </xf>
    <xf numFmtId="164" fontId="0" fillId="0" borderId="68" xfId="0" applyBorder="1" applyAlignment="1">
      <alignment vertical="center"/>
    </xf>
    <xf numFmtId="164" fontId="11" fillId="0" borderId="0" xfId="0" applyFont="1" applyAlignment="1" applyProtection="1">
      <alignment horizontal="left" vertical="top" wrapText="1"/>
      <protection hidden="1"/>
    </xf>
    <xf numFmtId="164" fontId="0" fillId="0" borderId="0" xfId="0" applyAlignment="1">
      <alignment wrapText="1"/>
    </xf>
    <xf numFmtId="164" fontId="0" fillId="0" borderId="0" xfId="0" applyAlignment="1">
      <alignment horizontal="left" vertical="top" wrapText="1"/>
    </xf>
    <xf numFmtId="164" fontId="10" fillId="0" borderId="0" xfId="0" applyFont="1" applyAlignment="1" applyProtection="1">
      <alignment horizontal="left"/>
      <protection hidden="1"/>
    </xf>
    <xf numFmtId="164" fontId="22" fillId="0" borderId="0" xfId="0" applyFont="1" applyAlignment="1">
      <alignment horizontal="left"/>
    </xf>
    <xf numFmtId="164" fontId="11" fillId="0" borderId="46" xfId="0" applyFont="1" applyBorder="1" applyAlignment="1" applyProtection="1">
      <alignment wrapText="1"/>
      <protection hidden="1"/>
    </xf>
    <xf numFmtId="164" fontId="0" fillId="0" borderId="46" xfId="0" applyBorder="1" applyAlignment="1">
      <alignment wrapText="1"/>
    </xf>
    <xf numFmtId="164" fontId="10" fillId="0" borderId="16" xfId="0" applyFont="1" applyBorder="1" applyAlignment="1" applyProtection="1">
      <alignment horizontal="center"/>
      <protection hidden="1"/>
    </xf>
    <xf numFmtId="164" fontId="10" fillId="0" borderId="68" xfId="0" applyFont="1" applyBorder="1" applyAlignment="1" applyProtection="1">
      <alignment horizontal="center"/>
      <protection hidden="1"/>
    </xf>
    <xf numFmtId="1" fontId="39" fillId="8" borderId="16" xfId="0" applyNumberFormat="1" applyFont="1" applyFill="1" applyBorder="1" applyAlignment="1">
      <alignment horizontal="center"/>
    </xf>
    <xf numFmtId="164" fontId="41" fillId="0" borderId="77" xfId="0" applyFont="1" applyBorder="1" applyAlignment="1">
      <alignment horizontal="center"/>
    </xf>
    <xf numFmtId="1" fontId="37" fillId="8" borderId="16" xfId="0" applyNumberFormat="1" applyFont="1" applyFill="1" applyBorder="1" applyAlignment="1">
      <alignment horizontal="center"/>
    </xf>
    <xf numFmtId="1" fontId="37" fillId="8" borderId="77" xfId="0" applyNumberFormat="1" applyFont="1" applyFill="1" applyBorder="1" applyAlignment="1">
      <alignment horizontal="center"/>
    </xf>
    <xf numFmtId="1" fontId="39" fillId="8" borderId="77" xfId="0" applyNumberFormat="1" applyFont="1" applyFill="1" applyBorder="1" applyAlignment="1">
      <alignment horizontal="center"/>
    </xf>
    <xf numFmtId="164" fontId="24" fillId="0" borderId="36" xfId="0" applyFont="1" applyBorder="1" applyAlignment="1">
      <alignment horizontal="left"/>
    </xf>
    <xf numFmtId="164" fontId="24" fillId="0" borderId="76" xfId="0" applyFont="1" applyBorder="1" applyAlignment="1">
      <alignment horizontal="left"/>
    </xf>
    <xf numFmtId="164" fontId="24" fillId="0" borderId="68" xfId="0" applyFont="1" applyBorder="1" applyAlignment="1">
      <alignment horizontal="left"/>
    </xf>
    <xf numFmtId="164" fontId="24" fillId="0" borderId="57" xfId="0" applyFont="1" applyBorder="1" applyAlignment="1">
      <alignment horizontal="left"/>
    </xf>
    <xf numFmtId="164" fontId="24" fillId="0" borderId="8" xfId="0" applyFont="1" applyBorder="1" applyAlignment="1">
      <alignment horizontal="left"/>
    </xf>
    <xf numFmtId="164" fontId="24" fillId="4" borderId="17" xfId="0" applyFont="1" applyFill="1" applyBorder="1" applyAlignment="1">
      <alignment horizontal="right" vertical="center"/>
    </xf>
    <xf numFmtId="164" fontId="24" fillId="4" borderId="30" xfId="0" applyFont="1" applyFill="1" applyBorder="1" applyAlignment="1">
      <alignment horizontal="right" vertical="center"/>
    </xf>
    <xf numFmtId="164" fontId="23" fillId="2" borderId="2" xfId="0" applyFont="1" applyFill="1" applyBorder="1" applyAlignment="1">
      <alignment horizontal="center"/>
    </xf>
    <xf numFmtId="164" fontId="23" fillId="2" borderId="5" xfId="0" applyFont="1" applyFill="1" applyBorder="1" applyAlignment="1">
      <alignment horizontal="center"/>
    </xf>
    <xf numFmtId="164" fontId="55" fillId="8" borderId="33" xfId="0" applyFont="1" applyFill="1" applyBorder="1" applyAlignment="1">
      <alignment horizontal="left" vertical="center"/>
    </xf>
    <xf numFmtId="164" fontId="55" fillId="8" borderId="46" xfId="0" applyFont="1" applyFill="1" applyBorder="1" applyAlignment="1">
      <alignment horizontal="left" vertical="center"/>
    </xf>
    <xf numFmtId="164" fontId="55" fillId="8" borderId="52" xfId="0" applyFont="1" applyFill="1" applyBorder="1" applyAlignment="1">
      <alignment horizontal="left" vertical="center"/>
    </xf>
    <xf numFmtId="164" fontId="55" fillId="8" borderId="12" xfId="0" applyFont="1" applyFill="1" applyBorder="1" applyAlignment="1">
      <alignment horizontal="left" vertical="center"/>
    </xf>
    <xf numFmtId="164" fontId="55" fillId="8" borderId="0" xfId="0" applyFont="1" applyFill="1" applyAlignment="1">
      <alignment horizontal="left" vertical="center"/>
    </xf>
    <xf numFmtId="164" fontId="55" fillId="8" borderId="43" xfId="0" applyFont="1" applyFill="1" applyBorder="1" applyAlignment="1">
      <alignment horizontal="left" vertical="center"/>
    </xf>
    <xf numFmtId="164" fontId="55" fillId="8" borderId="79" xfId="0" applyFont="1" applyFill="1" applyBorder="1" applyAlignment="1">
      <alignment horizontal="left" vertical="center"/>
    </xf>
    <xf numFmtId="164" fontId="55" fillId="8" borderId="59" xfId="0" applyFont="1" applyFill="1" applyBorder="1" applyAlignment="1">
      <alignment horizontal="left" vertical="center"/>
    </xf>
    <xf numFmtId="164" fontId="55" fillId="8" borderId="60" xfId="0" applyFont="1" applyFill="1" applyBorder="1" applyAlignment="1">
      <alignment horizontal="left" vertical="center"/>
    </xf>
    <xf numFmtId="164" fontId="55" fillId="8" borderId="33" xfId="0" applyFont="1" applyFill="1" applyBorder="1" applyAlignment="1">
      <alignment vertical="center"/>
    </xf>
    <xf numFmtId="164" fontId="55" fillId="8" borderId="46" xfId="0" applyFont="1" applyFill="1" applyBorder="1" applyAlignment="1">
      <alignment vertical="center"/>
    </xf>
    <xf numFmtId="164" fontId="55" fillId="8" borderId="52" xfId="0" applyFont="1" applyFill="1" applyBorder="1" applyAlignment="1">
      <alignment vertical="center"/>
    </xf>
    <xf numFmtId="164" fontId="55" fillId="8" borderId="79" xfId="0" applyFont="1" applyFill="1" applyBorder="1" applyAlignment="1">
      <alignment vertical="center"/>
    </xf>
    <xf numFmtId="164" fontId="55" fillId="8" borderId="59" xfId="0" applyFont="1" applyFill="1" applyBorder="1" applyAlignment="1">
      <alignment vertical="center"/>
    </xf>
    <xf numFmtId="164" fontId="55" fillId="8" borderId="60" xfId="0" applyFont="1" applyFill="1" applyBorder="1" applyAlignment="1">
      <alignment vertical="center"/>
    </xf>
    <xf numFmtId="164" fontId="24" fillId="4" borderId="33" xfId="0" applyFont="1" applyFill="1" applyBorder="1" applyAlignment="1">
      <alignment horizontal="right"/>
    </xf>
    <xf numFmtId="164" fontId="24" fillId="4" borderId="46" xfId="0" applyFont="1" applyFill="1" applyBorder="1" applyAlignment="1">
      <alignment horizontal="right"/>
    </xf>
    <xf numFmtId="164" fontId="24" fillId="4" borderId="52" xfId="0" applyFont="1" applyFill="1" applyBorder="1" applyAlignment="1">
      <alignment horizontal="right"/>
    </xf>
    <xf numFmtId="164" fontId="24" fillId="4" borderId="79" xfId="0" applyFont="1" applyFill="1" applyBorder="1" applyAlignment="1">
      <alignment horizontal="right"/>
    </xf>
    <xf numFmtId="164" fontId="24" fillId="4" borderId="59" xfId="0" applyFont="1" applyFill="1" applyBorder="1" applyAlignment="1">
      <alignment horizontal="right"/>
    </xf>
    <xf numFmtId="164" fontId="24" fillId="4" borderId="60" xfId="0" applyFont="1" applyFill="1" applyBorder="1" applyAlignment="1">
      <alignment horizontal="right"/>
    </xf>
    <xf numFmtId="164" fontId="23" fillId="2" borderId="54" xfId="0" applyFont="1" applyFill="1" applyBorder="1" applyAlignment="1">
      <alignment horizontal="left"/>
    </xf>
    <xf numFmtId="164" fontId="23" fillId="2" borderId="55" xfId="0" applyFont="1" applyFill="1" applyBorder="1" applyAlignment="1">
      <alignment horizontal="left"/>
    </xf>
    <xf numFmtId="164" fontId="23" fillId="2" borderId="75" xfId="0" applyFont="1" applyFill="1" applyBorder="1" applyAlignment="1">
      <alignment horizontal="left"/>
    </xf>
    <xf numFmtId="164" fontId="23" fillId="2" borderId="54" xfId="0" applyFont="1" applyFill="1" applyBorder="1" applyAlignment="1">
      <alignment horizontal="center"/>
    </xf>
    <xf numFmtId="164" fontId="23" fillId="2" borderId="55" xfId="0" applyFont="1" applyFill="1" applyBorder="1" applyAlignment="1">
      <alignment horizontal="center"/>
    </xf>
    <xf numFmtId="164" fontId="23" fillId="2" borderId="56" xfId="0" applyFont="1" applyFill="1" applyBorder="1" applyAlignment="1">
      <alignment horizontal="center"/>
    </xf>
    <xf numFmtId="173" fontId="50" fillId="4" borderId="16" xfId="0" applyNumberFormat="1" applyFont="1" applyFill="1" applyBorder="1" applyAlignment="1">
      <alignment horizontal="center" vertical="center"/>
    </xf>
    <xf numFmtId="164" fontId="42" fillId="4" borderId="76" xfId="0" applyFont="1" applyFill="1" applyBorder="1" applyAlignment="1">
      <alignment horizontal="center" vertical="center"/>
    </xf>
    <xf numFmtId="164" fontId="42" fillId="4" borderId="68" xfId="0" applyFont="1" applyFill="1" applyBorder="1" applyAlignment="1">
      <alignment horizontal="center" vertical="center"/>
    </xf>
    <xf numFmtId="173" fontId="23" fillId="0" borderId="16" xfId="0" applyNumberFormat="1" applyFont="1" applyBorder="1" applyAlignment="1">
      <alignment horizontal="center" vertical="center"/>
    </xf>
    <xf numFmtId="164" fontId="24" fillId="0" borderId="76" xfId="0" applyFont="1" applyBorder="1" applyAlignment="1">
      <alignment horizontal="center" vertical="center"/>
    </xf>
    <xf numFmtId="164" fontId="24" fillId="0" borderId="68" xfId="0" applyFont="1" applyBorder="1" applyAlignment="1">
      <alignment horizontal="center" vertical="center"/>
    </xf>
    <xf numFmtId="164" fontId="50" fillId="8" borderId="49" xfId="0" applyFont="1" applyFill="1" applyBorder="1" applyAlignment="1">
      <alignment horizontal="center" vertical="center"/>
    </xf>
    <xf numFmtId="164" fontId="42" fillId="8" borderId="59" xfId="0" applyFont="1" applyFill="1" applyBorder="1" applyAlignment="1">
      <alignment horizontal="center"/>
    </xf>
    <xf numFmtId="164" fontId="42" fillId="8" borderId="60" xfId="0" applyFont="1" applyFill="1" applyBorder="1" applyAlignment="1">
      <alignment horizontal="center"/>
    </xf>
    <xf numFmtId="164" fontId="51" fillId="3" borderId="17" xfId="0" applyFont="1" applyFill="1" applyBorder="1" applyAlignment="1">
      <alignment horizontal="center" vertical="center"/>
    </xf>
    <xf numFmtId="164" fontId="51" fillId="3" borderId="30" xfId="0" applyFont="1" applyFill="1" applyBorder="1" applyAlignment="1">
      <alignment horizontal="center" vertical="center"/>
    </xf>
    <xf numFmtId="164" fontId="42" fillId="4" borderId="16" xfId="0" applyFont="1" applyFill="1" applyBorder="1" applyAlignment="1">
      <alignment horizontal="right"/>
    </xf>
    <xf numFmtId="164" fontId="42" fillId="4" borderId="76" xfId="0" applyFont="1" applyFill="1" applyBorder="1" applyAlignment="1">
      <alignment horizontal="right"/>
    </xf>
    <xf numFmtId="164" fontId="42" fillId="4" borderId="68" xfId="0" applyFont="1" applyFill="1" applyBorder="1" applyAlignment="1">
      <alignment horizontal="right"/>
    </xf>
    <xf numFmtId="164" fontId="24" fillId="4" borderId="2" xfId="0" applyFont="1" applyFill="1" applyBorder="1" applyAlignment="1">
      <alignment horizontal="center"/>
    </xf>
    <xf numFmtId="164" fontId="24" fillId="4" borderId="68" xfId="0" applyFont="1" applyFill="1" applyBorder="1"/>
    <xf numFmtId="164" fontId="0" fillId="0" borderId="16" xfId="0" applyBorder="1" applyAlignment="1">
      <alignment horizontal="center"/>
    </xf>
    <xf numFmtId="164" fontId="0" fillId="0" borderId="68" xfId="0" applyBorder="1" applyAlignment="1">
      <alignment horizontal="center"/>
    </xf>
  </cellXfs>
  <cellStyles count="6">
    <cellStyle name="Date" xfId="1" xr:uid="{00000000-0005-0000-0000-000000000000}"/>
    <cellStyle name="Fixed" xfId="2" xr:uid="{00000000-0005-0000-0000-000001000000}"/>
    <cellStyle name="Heading1" xfId="3" xr:uid="{00000000-0005-0000-0000-000002000000}"/>
    <cellStyle name="Heading2" xfId="4" xr:uid="{00000000-0005-0000-0000-000003000000}"/>
    <cellStyle name="Normal" xfId="0" builtinId="0"/>
    <cellStyle name="Total" xfId="5" builtinId="25"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FFCCFF"/>
      <rgbColor rgb="00FF00FF"/>
      <rgbColor rgb="00FFFF00"/>
      <rgbColor rgb="0000FFFF"/>
      <rgbColor rgb="00800080"/>
      <rgbColor rgb="00FFCC99"/>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ctrlProps/ctrlProp1.xml><?xml version="1.0" encoding="utf-8"?>
<formControlPr xmlns="http://schemas.microsoft.com/office/spreadsheetml/2009/9/main" objectType="CheckBox" fmlaLink="$BG$59" lockText="1"/>
</file>

<file path=xl/ctrlProps/ctrlProp2.xml><?xml version="1.0" encoding="utf-8"?>
<formControlPr xmlns="http://schemas.microsoft.com/office/spreadsheetml/2009/9/main" objectType="CheckBox" fmlaLink="$BH$59" lockText="1"/>
</file>

<file path=xl/ctrlProps/ctrlProp3.xml><?xml version="1.0" encoding="utf-8"?>
<formControlPr xmlns="http://schemas.microsoft.com/office/spreadsheetml/2009/9/main" objectType="CheckBox" checked="Checked" fmlaLink="$BG$57" lockText="1"/>
</file>

<file path=xl/ctrlProps/ctrlProp4.xml><?xml version="1.0" encoding="utf-8"?>
<formControlPr xmlns="http://schemas.microsoft.com/office/spreadsheetml/2009/9/main" objectType="CheckBox" checked="Checked" fmlaLink="$BH$57" lockText="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266700</xdr:colOff>
      <xdr:row>0</xdr:row>
      <xdr:rowOff>137160</xdr:rowOff>
    </xdr:from>
    <xdr:to>
      <xdr:col>2</xdr:col>
      <xdr:colOff>548640</xdr:colOff>
      <xdr:row>4</xdr:row>
      <xdr:rowOff>68580</xdr:rowOff>
    </xdr:to>
    <xdr:pic>
      <xdr:nvPicPr>
        <xdr:cNvPr id="54297" name="Picture 1" descr="ACCA">
          <a:extLst>
            <a:ext uri="{FF2B5EF4-FFF2-40B4-BE49-F238E27FC236}">
              <a16:creationId xmlns:a16="http://schemas.microsoft.com/office/drawing/2014/main" id="{00000000-0008-0000-0300-000019D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8160" y="137160"/>
          <a:ext cx="1097280" cy="601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60960</xdr:colOff>
      <xdr:row>2</xdr:row>
      <xdr:rowOff>7620</xdr:rowOff>
    </xdr:from>
    <xdr:to>
      <xdr:col>12</xdr:col>
      <xdr:colOff>533400</xdr:colOff>
      <xdr:row>5</xdr:row>
      <xdr:rowOff>106680</xdr:rowOff>
    </xdr:to>
    <xdr:pic>
      <xdr:nvPicPr>
        <xdr:cNvPr id="51480" name="Picture 1145" descr="ACCA">
          <a:extLst>
            <a:ext uri="{FF2B5EF4-FFF2-40B4-BE49-F238E27FC236}">
              <a16:creationId xmlns:a16="http://schemas.microsoft.com/office/drawing/2014/main" id="{00000000-0008-0000-0600-000018C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1920" y="327660"/>
          <a:ext cx="1089660" cy="579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6</xdr:col>
          <xdr:colOff>571500</xdr:colOff>
          <xdr:row>57</xdr:row>
          <xdr:rowOff>142875</xdr:rowOff>
        </xdr:from>
        <xdr:to>
          <xdr:col>6</xdr:col>
          <xdr:colOff>1228725</xdr:colOff>
          <xdr:row>59</xdr:row>
          <xdr:rowOff>38100</xdr:rowOff>
        </xdr:to>
        <xdr:sp macro="" textlink="">
          <xdr:nvSpPr>
            <xdr:cNvPr id="51349" name="Check Box 1173" hidden="1">
              <a:extLst>
                <a:ext uri="{63B3BB69-23CF-44E3-9099-C40C66FF867C}">
                  <a14:compatExt spid="_x0000_s51349"/>
                </a:ext>
                <a:ext uri="{FF2B5EF4-FFF2-40B4-BE49-F238E27FC236}">
                  <a16:creationId xmlns:a16="http://schemas.microsoft.com/office/drawing/2014/main" id="{00000000-0008-0000-0600-000095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Furnace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1276350</xdr:colOff>
          <xdr:row>57</xdr:row>
          <xdr:rowOff>142875</xdr:rowOff>
        </xdr:from>
        <xdr:to>
          <xdr:col>7</xdr:col>
          <xdr:colOff>361950</xdr:colOff>
          <xdr:row>59</xdr:row>
          <xdr:rowOff>38100</xdr:rowOff>
        </xdr:to>
        <xdr:sp macro="" textlink="">
          <xdr:nvSpPr>
            <xdr:cNvPr id="51351" name="Check Box 1175" hidden="1">
              <a:extLst>
                <a:ext uri="{63B3BB69-23CF-44E3-9099-C40C66FF867C}">
                  <a14:compatExt spid="_x0000_s51351"/>
                </a:ext>
                <a:ext uri="{FF2B5EF4-FFF2-40B4-BE49-F238E27FC236}">
                  <a16:creationId xmlns:a16="http://schemas.microsoft.com/office/drawing/2014/main" id="{00000000-0008-0000-0600-000097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Water Heater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400050</xdr:colOff>
          <xdr:row>55</xdr:row>
          <xdr:rowOff>142875</xdr:rowOff>
        </xdr:from>
        <xdr:to>
          <xdr:col>9</xdr:col>
          <xdr:colOff>19050</xdr:colOff>
          <xdr:row>57</xdr:row>
          <xdr:rowOff>38100</xdr:rowOff>
        </xdr:to>
        <xdr:sp macro="" textlink="">
          <xdr:nvSpPr>
            <xdr:cNvPr id="51362" name="Check Box 1186" hidden="1">
              <a:extLst>
                <a:ext uri="{63B3BB69-23CF-44E3-9099-C40C66FF867C}">
                  <a14:compatExt spid="_x0000_s51362"/>
                </a:ext>
                <a:ext uri="{FF2B5EF4-FFF2-40B4-BE49-F238E27FC236}">
                  <a16:creationId xmlns:a16="http://schemas.microsoft.com/office/drawing/2014/main" id="{00000000-0008-0000-0600-0000A2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400050</xdr:colOff>
          <xdr:row>55</xdr:row>
          <xdr:rowOff>142875</xdr:rowOff>
        </xdr:from>
        <xdr:to>
          <xdr:col>10</xdr:col>
          <xdr:colOff>95250</xdr:colOff>
          <xdr:row>57</xdr:row>
          <xdr:rowOff>38100</xdr:rowOff>
        </xdr:to>
        <xdr:sp macro="" textlink="">
          <xdr:nvSpPr>
            <xdr:cNvPr id="51363" name="Check Box 1187" hidden="1">
              <a:extLst>
                <a:ext uri="{63B3BB69-23CF-44E3-9099-C40C66FF867C}">
                  <a14:compatExt spid="_x0000_s51363"/>
                </a:ext>
                <a:ext uri="{FF2B5EF4-FFF2-40B4-BE49-F238E27FC236}">
                  <a16:creationId xmlns:a16="http://schemas.microsoft.com/office/drawing/2014/main" id="{00000000-0008-0000-0600-0000A3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32</xdr:col>
      <xdr:colOff>0</xdr:colOff>
      <xdr:row>29</xdr:row>
      <xdr:rowOff>0</xdr:rowOff>
    </xdr:from>
    <xdr:to>
      <xdr:col>32</xdr:col>
      <xdr:colOff>0</xdr:colOff>
      <xdr:row>29</xdr:row>
      <xdr:rowOff>0</xdr:rowOff>
    </xdr:to>
    <xdr:sp macro="" textlink="">
      <xdr:nvSpPr>
        <xdr:cNvPr id="49662" name="Line 1">
          <a:extLst>
            <a:ext uri="{FF2B5EF4-FFF2-40B4-BE49-F238E27FC236}">
              <a16:creationId xmlns:a16="http://schemas.microsoft.com/office/drawing/2014/main" id="{00000000-0008-0000-0800-0000FEC10000}"/>
            </a:ext>
          </a:extLst>
        </xdr:cNvPr>
        <xdr:cNvSpPr>
          <a:spLocks noChangeShapeType="1"/>
        </xdr:cNvSpPr>
      </xdr:nvSpPr>
      <xdr:spPr bwMode="auto">
        <a:xfrm>
          <a:off x="10447020" y="6065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34</xdr:col>
      <xdr:colOff>0</xdr:colOff>
      <xdr:row>29</xdr:row>
      <xdr:rowOff>0</xdr:rowOff>
    </xdr:from>
    <xdr:to>
      <xdr:col>34</xdr:col>
      <xdr:colOff>0</xdr:colOff>
      <xdr:row>29</xdr:row>
      <xdr:rowOff>0</xdr:rowOff>
    </xdr:to>
    <xdr:sp macro="" textlink="">
      <xdr:nvSpPr>
        <xdr:cNvPr id="49663" name="Line 2">
          <a:extLst>
            <a:ext uri="{FF2B5EF4-FFF2-40B4-BE49-F238E27FC236}">
              <a16:creationId xmlns:a16="http://schemas.microsoft.com/office/drawing/2014/main" id="{00000000-0008-0000-0800-0000FFC10000}"/>
            </a:ext>
          </a:extLst>
        </xdr:cNvPr>
        <xdr:cNvSpPr>
          <a:spLocks noChangeShapeType="1"/>
        </xdr:cNvSpPr>
      </xdr:nvSpPr>
      <xdr:spPr bwMode="auto">
        <a:xfrm>
          <a:off x="10447020" y="6065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36</xdr:col>
      <xdr:colOff>0</xdr:colOff>
      <xdr:row>29</xdr:row>
      <xdr:rowOff>0</xdr:rowOff>
    </xdr:from>
    <xdr:to>
      <xdr:col>37</xdr:col>
      <xdr:colOff>0</xdr:colOff>
      <xdr:row>29</xdr:row>
      <xdr:rowOff>0</xdr:rowOff>
    </xdr:to>
    <xdr:sp macro="" textlink="">
      <xdr:nvSpPr>
        <xdr:cNvPr id="49664" name="Line 3">
          <a:extLst>
            <a:ext uri="{FF2B5EF4-FFF2-40B4-BE49-F238E27FC236}">
              <a16:creationId xmlns:a16="http://schemas.microsoft.com/office/drawing/2014/main" id="{00000000-0008-0000-0800-000000C20000}"/>
            </a:ext>
          </a:extLst>
        </xdr:cNvPr>
        <xdr:cNvSpPr>
          <a:spLocks noChangeShapeType="1"/>
        </xdr:cNvSpPr>
      </xdr:nvSpPr>
      <xdr:spPr bwMode="auto">
        <a:xfrm>
          <a:off x="10447020" y="6065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42</xdr:col>
      <xdr:colOff>0</xdr:colOff>
      <xdr:row>22</xdr:row>
      <xdr:rowOff>0</xdr:rowOff>
    </xdr:from>
    <xdr:to>
      <xdr:col>42</xdr:col>
      <xdr:colOff>0</xdr:colOff>
      <xdr:row>22</xdr:row>
      <xdr:rowOff>0</xdr:rowOff>
    </xdr:to>
    <xdr:sp macro="" textlink="">
      <xdr:nvSpPr>
        <xdr:cNvPr id="49665" name="Line 18">
          <a:extLst>
            <a:ext uri="{FF2B5EF4-FFF2-40B4-BE49-F238E27FC236}">
              <a16:creationId xmlns:a16="http://schemas.microsoft.com/office/drawing/2014/main" id="{00000000-0008-0000-0800-000001C20000}"/>
            </a:ext>
          </a:extLst>
        </xdr:cNvPr>
        <xdr:cNvSpPr>
          <a:spLocks noChangeShapeType="1"/>
        </xdr:cNvSpPr>
      </xdr:nvSpPr>
      <xdr:spPr bwMode="auto">
        <a:xfrm>
          <a:off x="11978640" y="4800600"/>
          <a:ext cx="0" cy="0"/>
        </a:xfrm>
        <a:prstGeom prst="line">
          <a:avLst/>
        </a:prstGeom>
        <a:noFill/>
        <a:ln w="9525">
          <a:solidFill>
            <a:srgbClr xmlns:mc="http://schemas.openxmlformats.org/markup-compatibility/2006" xmlns:a14="http://schemas.microsoft.com/office/drawing/2010/main" val="0000FF" mc:Ignorable="a14" a14:legacySpreadsheetColorIndex="12"/>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0</xdr:colOff>
      <xdr:row>4</xdr:row>
      <xdr:rowOff>0</xdr:rowOff>
    </xdr:from>
    <xdr:to>
      <xdr:col>17</xdr:col>
      <xdr:colOff>0</xdr:colOff>
      <xdr:row>4</xdr:row>
      <xdr:rowOff>0</xdr:rowOff>
    </xdr:to>
    <xdr:sp macro="" textlink="">
      <xdr:nvSpPr>
        <xdr:cNvPr id="49666" name="Line 61">
          <a:extLst>
            <a:ext uri="{FF2B5EF4-FFF2-40B4-BE49-F238E27FC236}">
              <a16:creationId xmlns:a16="http://schemas.microsoft.com/office/drawing/2014/main" id="{00000000-0008-0000-0800-000002C20000}"/>
            </a:ext>
          </a:extLst>
        </xdr:cNvPr>
        <xdr:cNvSpPr>
          <a:spLocks noChangeShapeType="1"/>
        </xdr:cNvSpPr>
      </xdr:nvSpPr>
      <xdr:spPr bwMode="auto">
        <a:xfrm>
          <a:off x="8625840" y="1196340"/>
          <a:ext cx="1234440" cy="0"/>
        </a:xfrm>
        <a:prstGeom prst="line">
          <a:avLst/>
        </a:prstGeom>
        <a:noFill/>
        <a:ln w="3810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0</xdr:colOff>
      <xdr:row>2</xdr:row>
      <xdr:rowOff>0</xdr:rowOff>
    </xdr:from>
    <xdr:to>
      <xdr:col>17</xdr:col>
      <xdr:colOff>0</xdr:colOff>
      <xdr:row>4</xdr:row>
      <xdr:rowOff>0</xdr:rowOff>
    </xdr:to>
    <xdr:sp macro="" textlink="">
      <xdr:nvSpPr>
        <xdr:cNvPr id="49667" name="Line 62">
          <a:extLst>
            <a:ext uri="{FF2B5EF4-FFF2-40B4-BE49-F238E27FC236}">
              <a16:creationId xmlns:a16="http://schemas.microsoft.com/office/drawing/2014/main" id="{00000000-0008-0000-0800-000003C20000}"/>
            </a:ext>
          </a:extLst>
        </xdr:cNvPr>
        <xdr:cNvSpPr>
          <a:spLocks noChangeShapeType="1"/>
        </xdr:cNvSpPr>
      </xdr:nvSpPr>
      <xdr:spPr bwMode="auto">
        <a:xfrm flipV="1">
          <a:off x="8625840" y="312420"/>
          <a:ext cx="1234440" cy="883920"/>
        </a:xfrm>
        <a:prstGeom prst="line">
          <a:avLst/>
        </a:prstGeom>
        <a:noFill/>
        <a:ln w="3810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16</xdr:col>
      <xdr:colOff>0</xdr:colOff>
      <xdr:row>4</xdr:row>
      <xdr:rowOff>0</xdr:rowOff>
    </xdr:from>
    <xdr:to>
      <xdr:col>16</xdr:col>
      <xdr:colOff>0</xdr:colOff>
      <xdr:row>6</xdr:row>
      <xdr:rowOff>0</xdr:rowOff>
    </xdr:to>
    <xdr:sp macro="" textlink="">
      <xdr:nvSpPr>
        <xdr:cNvPr id="49668" name="Line 63">
          <a:extLst>
            <a:ext uri="{FF2B5EF4-FFF2-40B4-BE49-F238E27FC236}">
              <a16:creationId xmlns:a16="http://schemas.microsoft.com/office/drawing/2014/main" id="{00000000-0008-0000-0800-000004C20000}"/>
            </a:ext>
          </a:extLst>
        </xdr:cNvPr>
        <xdr:cNvSpPr>
          <a:spLocks noChangeShapeType="1"/>
        </xdr:cNvSpPr>
      </xdr:nvSpPr>
      <xdr:spPr bwMode="auto">
        <a:xfrm>
          <a:off x="9243060" y="1196340"/>
          <a:ext cx="0" cy="381000"/>
        </a:xfrm>
        <a:prstGeom prst="line">
          <a:avLst/>
        </a:prstGeom>
        <a:noFill/>
        <a:ln w="3810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16</xdr:col>
      <xdr:colOff>0</xdr:colOff>
      <xdr:row>6</xdr:row>
      <xdr:rowOff>0</xdr:rowOff>
    </xdr:from>
    <xdr:to>
      <xdr:col>16</xdr:col>
      <xdr:colOff>0</xdr:colOff>
      <xdr:row>12</xdr:row>
      <xdr:rowOff>0</xdr:rowOff>
    </xdr:to>
    <xdr:sp macro="" textlink="">
      <xdr:nvSpPr>
        <xdr:cNvPr id="49669" name="Line 64">
          <a:extLst>
            <a:ext uri="{FF2B5EF4-FFF2-40B4-BE49-F238E27FC236}">
              <a16:creationId xmlns:a16="http://schemas.microsoft.com/office/drawing/2014/main" id="{00000000-0008-0000-0800-000005C20000}"/>
            </a:ext>
          </a:extLst>
        </xdr:cNvPr>
        <xdr:cNvSpPr>
          <a:spLocks noChangeShapeType="1"/>
        </xdr:cNvSpPr>
      </xdr:nvSpPr>
      <xdr:spPr bwMode="auto">
        <a:xfrm>
          <a:off x="9243060" y="1577340"/>
          <a:ext cx="0" cy="11430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16</xdr:col>
      <xdr:colOff>0</xdr:colOff>
      <xdr:row>12</xdr:row>
      <xdr:rowOff>0</xdr:rowOff>
    </xdr:from>
    <xdr:to>
      <xdr:col>16</xdr:col>
      <xdr:colOff>0</xdr:colOff>
      <xdr:row>14</xdr:row>
      <xdr:rowOff>0</xdr:rowOff>
    </xdr:to>
    <xdr:sp macro="" textlink="">
      <xdr:nvSpPr>
        <xdr:cNvPr id="49670" name="Line 65">
          <a:extLst>
            <a:ext uri="{FF2B5EF4-FFF2-40B4-BE49-F238E27FC236}">
              <a16:creationId xmlns:a16="http://schemas.microsoft.com/office/drawing/2014/main" id="{00000000-0008-0000-0800-000006C20000}"/>
            </a:ext>
          </a:extLst>
        </xdr:cNvPr>
        <xdr:cNvSpPr>
          <a:spLocks noChangeShapeType="1"/>
        </xdr:cNvSpPr>
      </xdr:nvSpPr>
      <xdr:spPr bwMode="auto">
        <a:xfrm>
          <a:off x="9243060" y="2720340"/>
          <a:ext cx="0" cy="381000"/>
        </a:xfrm>
        <a:prstGeom prst="line">
          <a:avLst/>
        </a:prstGeom>
        <a:noFill/>
        <a:ln w="3810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16</xdr:col>
      <xdr:colOff>0</xdr:colOff>
      <xdr:row>14</xdr:row>
      <xdr:rowOff>0</xdr:rowOff>
    </xdr:from>
    <xdr:to>
      <xdr:col>17</xdr:col>
      <xdr:colOff>0</xdr:colOff>
      <xdr:row>14</xdr:row>
      <xdr:rowOff>0</xdr:rowOff>
    </xdr:to>
    <xdr:sp macro="" textlink="">
      <xdr:nvSpPr>
        <xdr:cNvPr id="49671" name="Line 66">
          <a:extLst>
            <a:ext uri="{FF2B5EF4-FFF2-40B4-BE49-F238E27FC236}">
              <a16:creationId xmlns:a16="http://schemas.microsoft.com/office/drawing/2014/main" id="{00000000-0008-0000-0800-000007C20000}"/>
            </a:ext>
          </a:extLst>
        </xdr:cNvPr>
        <xdr:cNvSpPr>
          <a:spLocks noChangeShapeType="1"/>
        </xdr:cNvSpPr>
      </xdr:nvSpPr>
      <xdr:spPr bwMode="auto">
        <a:xfrm>
          <a:off x="9243060" y="3101340"/>
          <a:ext cx="617220" cy="0"/>
        </a:xfrm>
        <a:prstGeom prst="line">
          <a:avLst/>
        </a:prstGeom>
        <a:noFill/>
        <a:ln w="3810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0</xdr:colOff>
      <xdr:row>2</xdr:row>
      <xdr:rowOff>0</xdr:rowOff>
    </xdr:from>
    <xdr:to>
      <xdr:col>15</xdr:col>
      <xdr:colOff>0</xdr:colOff>
      <xdr:row>4</xdr:row>
      <xdr:rowOff>0</xdr:rowOff>
    </xdr:to>
    <xdr:sp macro="" textlink="">
      <xdr:nvSpPr>
        <xdr:cNvPr id="49672" name="Line 67">
          <a:extLst>
            <a:ext uri="{FF2B5EF4-FFF2-40B4-BE49-F238E27FC236}">
              <a16:creationId xmlns:a16="http://schemas.microsoft.com/office/drawing/2014/main" id="{00000000-0008-0000-0800-000008C20000}"/>
            </a:ext>
          </a:extLst>
        </xdr:cNvPr>
        <xdr:cNvSpPr>
          <a:spLocks noChangeShapeType="1"/>
        </xdr:cNvSpPr>
      </xdr:nvSpPr>
      <xdr:spPr bwMode="auto">
        <a:xfrm>
          <a:off x="8625840" y="312420"/>
          <a:ext cx="0" cy="883920"/>
        </a:xfrm>
        <a:prstGeom prst="line">
          <a:avLst/>
        </a:prstGeom>
        <a:noFill/>
        <a:ln w="9525">
          <a:solidFill>
            <a:srgbClr xmlns:mc="http://schemas.openxmlformats.org/markup-compatibility/2006" xmlns:a14="http://schemas.microsoft.com/office/drawing/2010/main" val="0000FF" mc:Ignorable="a14" a14:legacySpreadsheetColorIndex="12"/>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16</xdr:col>
      <xdr:colOff>0</xdr:colOff>
      <xdr:row>2</xdr:row>
      <xdr:rowOff>0</xdr:rowOff>
    </xdr:from>
    <xdr:to>
      <xdr:col>16</xdr:col>
      <xdr:colOff>0</xdr:colOff>
      <xdr:row>3</xdr:row>
      <xdr:rowOff>0</xdr:rowOff>
    </xdr:to>
    <xdr:sp macro="" textlink="">
      <xdr:nvSpPr>
        <xdr:cNvPr id="49673" name="Line 68">
          <a:extLst>
            <a:ext uri="{FF2B5EF4-FFF2-40B4-BE49-F238E27FC236}">
              <a16:creationId xmlns:a16="http://schemas.microsoft.com/office/drawing/2014/main" id="{00000000-0008-0000-0800-000009C20000}"/>
            </a:ext>
          </a:extLst>
        </xdr:cNvPr>
        <xdr:cNvSpPr>
          <a:spLocks noChangeShapeType="1"/>
        </xdr:cNvSpPr>
      </xdr:nvSpPr>
      <xdr:spPr bwMode="auto">
        <a:xfrm>
          <a:off x="9243060" y="312420"/>
          <a:ext cx="0" cy="693420"/>
        </a:xfrm>
        <a:prstGeom prst="line">
          <a:avLst/>
        </a:prstGeom>
        <a:noFill/>
        <a:ln w="9525">
          <a:solidFill>
            <a:srgbClr xmlns:mc="http://schemas.openxmlformats.org/markup-compatibility/2006" xmlns:a14="http://schemas.microsoft.com/office/drawing/2010/main" val="0000FF" mc:Ignorable="a14" a14:legacySpreadsheetColorIndex="12"/>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0</xdr:colOff>
      <xdr:row>2</xdr:row>
      <xdr:rowOff>0</xdr:rowOff>
    </xdr:from>
    <xdr:to>
      <xdr:col>16</xdr:col>
      <xdr:colOff>0</xdr:colOff>
      <xdr:row>2</xdr:row>
      <xdr:rowOff>0</xdr:rowOff>
    </xdr:to>
    <xdr:sp macro="" textlink="">
      <xdr:nvSpPr>
        <xdr:cNvPr id="49674" name="Line 69">
          <a:extLst>
            <a:ext uri="{FF2B5EF4-FFF2-40B4-BE49-F238E27FC236}">
              <a16:creationId xmlns:a16="http://schemas.microsoft.com/office/drawing/2014/main" id="{00000000-0008-0000-0800-00000AC20000}"/>
            </a:ext>
          </a:extLst>
        </xdr:cNvPr>
        <xdr:cNvSpPr>
          <a:spLocks noChangeShapeType="1"/>
        </xdr:cNvSpPr>
      </xdr:nvSpPr>
      <xdr:spPr bwMode="auto">
        <a:xfrm>
          <a:off x="8625840" y="312420"/>
          <a:ext cx="617220" cy="0"/>
        </a:xfrm>
        <a:prstGeom prst="line">
          <a:avLst/>
        </a:prstGeom>
        <a:noFill/>
        <a:ln w="9525">
          <a:solidFill>
            <a:srgbClr xmlns:mc="http://schemas.openxmlformats.org/markup-compatibility/2006" xmlns:a14="http://schemas.microsoft.com/office/drawing/2010/main" val="FF0000" mc:Ignorable="a14" a14:legacySpreadsheetColorIndex="10"/>
          </a:solidFill>
          <a:round/>
          <a:headEnd type="triangle" w="med" len="me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16</xdr:col>
      <xdr:colOff>0</xdr:colOff>
      <xdr:row>6</xdr:row>
      <xdr:rowOff>0</xdr:rowOff>
    </xdr:from>
    <xdr:to>
      <xdr:col>17</xdr:col>
      <xdr:colOff>0</xdr:colOff>
      <xdr:row>6</xdr:row>
      <xdr:rowOff>0</xdr:rowOff>
    </xdr:to>
    <xdr:sp macro="" textlink="">
      <xdr:nvSpPr>
        <xdr:cNvPr id="49675" name="Line 70">
          <a:extLst>
            <a:ext uri="{FF2B5EF4-FFF2-40B4-BE49-F238E27FC236}">
              <a16:creationId xmlns:a16="http://schemas.microsoft.com/office/drawing/2014/main" id="{00000000-0008-0000-0800-00000BC20000}"/>
            </a:ext>
          </a:extLst>
        </xdr:cNvPr>
        <xdr:cNvSpPr>
          <a:spLocks noChangeShapeType="1"/>
        </xdr:cNvSpPr>
      </xdr:nvSpPr>
      <xdr:spPr bwMode="auto">
        <a:xfrm>
          <a:off x="9243060" y="1577340"/>
          <a:ext cx="617220" cy="0"/>
        </a:xfrm>
        <a:prstGeom prst="line">
          <a:avLst/>
        </a:prstGeom>
        <a:noFill/>
        <a:ln w="9525">
          <a:solidFill>
            <a:srgbClr xmlns:mc="http://schemas.openxmlformats.org/markup-compatibility/2006" xmlns:a14="http://schemas.microsoft.com/office/drawing/2010/main" val="0000FF" mc:Ignorable="a14" a14:legacySpreadsheetColorIndex="12"/>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17</xdr:col>
      <xdr:colOff>0</xdr:colOff>
      <xdr:row>4</xdr:row>
      <xdr:rowOff>0</xdr:rowOff>
    </xdr:from>
    <xdr:to>
      <xdr:col>17</xdr:col>
      <xdr:colOff>0</xdr:colOff>
      <xdr:row>6</xdr:row>
      <xdr:rowOff>0</xdr:rowOff>
    </xdr:to>
    <xdr:sp macro="" textlink="">
      <xdr:nvSpPr>
        <xdr:cNvPr id="49676" name="Line 71">
          <a:extLst>
            <a:ext uri="{FF2B5EF4-FFF2-40B4-BE49-F238E27FC236}">
              <a16:creationId xmlns:a16="http://schemas.microsoft.com/office/drawing/2014/main" id="{00000000-0008-0000-0800-00000CC20000}"/>
            </a:ext>
          </a:extLst>
        </xdr:cNvPr>
        <xdr:cNvSpPr>
          <a:spLocks noChangeShapeType="1"/>
        </xdr:cNvSpPr>
      </xdr:nvSpPr>
      <xdr:spPr bwMode="auto">
        <a:xfrm>
          <a:off x="9860280" y="1196340"/>
          <a:ext cx="0" cy="381000"/>
        </a:xfrm>
        <a:prstGeom prst="line">
          <a:avLst/>
        </a:prstGeom>
        <a:noFill/>
        <a:ln w="9525">
          <a:solidFill>
            <a:srgbClr xmlns:mc="http://schemas.openxmlformats.org/markup-compatibility/2006" xmlns:a14="http://schemas.microsoft.com/office/drawing/2010/main" val="FF0000" mc:Ignorable="a14" a14:legacySpreadsheetColorIndex="10"/>
          </a:solidFill>
          <a:round/>
          <a:headEnd type="triangle" w="med" len="me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17</xdr:col>
      <xdr:colOff>0</xdr:colOff>
      <xdr:row>6</xdr:row>
      <xdr:rowOff>0</xdr:rowOff>
    </xdr:from>
    <xdr:to>
      <xdr:col>17</xdr:col>
      <xdr:colOff>0</xdr:colOff>
      <xdr:row>12</xdr:row>
      <xdr:rowOff>0</xdr:rowOff>
    </xdr:to>
    <xdr:sp macro="" textlink="">
      <xdr:nvSpPr>
        <xdr:cNvPr id="49677" name="Line 72">
          <a:extLst>
            <a:ext uri="{FF2B5EF4-FFF2-40B4-BE49-F238E27FC236}">
              <a16:creationId xmlns:a16="http://schemas.microsoft.com/office/drawing/2014/main" id="{00000000-0008-0000-0800-00000DC20000}"/>
            </a:ext>
          </a:extLst>
        </xdr:cNvPr>
        <xdr:cNvSpPr>
          <a:spLocks noChangeShapeType="1"/>
        </xdr:cNvSpPr>
      </xdr:nvSpPr>
      <xdr:spPr bwMode="auto">
        <a:xfrm>
          <a:off x="9860280" y="1577340"/>
          <a:ext cx="0" cy="1143000"/>
        </a:xfrm>
        <a:prstGeom prst="line">
          <a:avLst/>
        </a:prstGeom>
        <a:noFill/>
        <a:ln w="9525">
          <a:solidFill>
            <a:srgbClr xmlns:mc="http://schemas.openxmlformats.org/markup-compatibility/2006" xmlns:a14="http://schemas.microsoft.com/office/drawing/2010/main" val="FF0000" mc:Ignorable="a14" a14:legacySpreadsheetColorIndex="10"/>
          </a:solidFill>
          <a:round/>
          <a:headEnd type="triangle" w="med" len="me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16</xdr:col>
      <xdr:colOff>0</xdr:colOff>
      <xdr:row>12</xdr:row>
      <xdr:rowOff>0</xdr:rowOff>
    </xdr:from>
    <xdr:to>
      <xdr:col>17</xdr:col>
      <xdr:colOff>0</xdr:colOff>
      <xdr:row>12</xdr:row>
      <xdr:rowOff>0</xdr:rowOff>
    </xdr:to>
    <xdr:sp macro="" textlink="">
      <xdr:nvSpPr>
        <xdr:cNvPr id="49678" name="Line 73">
          <a:extLst>
            <a:ext uri="{FF2B5EF4-FFF2-40B4-BE49-F238E27FC236}">
              <a16:creationId xmlns:a16="http://schemas.microsoft.com/office/drawing/2014/main" id="{00000000-0008-0000-0800-00000EC20000}"/>
            </a:ext>
          </a:extLst>
        </xdr:cNvPr>
        <xdr:cNvSpPr>
          <a:spLocks noChangeShapeType="1"/>
        </xdr:cNvSpPr>
      </xdr:nvSpPr>
      <xdr:spPr bwMode="auto">
        <a:xfrm>
          <a:off x="9243060" y="2720340"/>
          <a:ext cx="617220" cy="0"/>
        </a:xfrm>
        <a:prstGeom prst="line">
          <a:avLst/>
        </a:prstGeom>
        <a:noFill/>
        <a:ln w="9525">
          <a:solidFill>
            <a:srgbClr xmlns:mc="http://schemas.openxmlformats.org/markup-compatibility/2006" xmlns:a14="http://schemas.microsoft.com/office/drawing/2010/main" val="0000FF" mc:Ignorable="a14" a14:legacySpreadsheetColorIndex="12"/>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0</xdr:colOff>
      <xdr:row>4</xdr:row>
      <xdr:rowOff>0</xdr:rowOff>
    </xdr:from>
    <xdr:to>
      <xdr:col>16</xdr:col>
      <xdr:colOff>0</xdr:colOff>
      <xdr:row>9</xdr:row>
      <xdr:rowOff>0</xdr:rowOff>
    </xdr:to>
    <xdr:sp macro="" textlink="">
      <xdr:nvSpPr>
        <xdr:cNvPr id="49679" name="Line 74">
          <a:extLst>
            <a:ext uri="{FF2B5EF4-FFF2-40B4-BE49-F238E27FC236}">
              <a16:creationId xmlns:a16="http://schemas.microsoft.com/office/drawing/2014/main" id="{00000000-0008-0000-0800-00000FC20000}"/>
            </a:ext>
          </a:extLst>
        </xdr:cNvPr>
        <xdr:cNvSpPr>
          <a:spLocks noChangeShapeType="1"/>
        </xdr:cNvSpPr>
      </xdr:nvSpPr>
      <xdr:spPr bwMode="auto">
        <a:xfrm flipH="1" flipV="1">
          <a:off x="8625840" y="1196340"/>
          <a:ext cx="617220" cy="952500"/>
        </a:xfrm>
        <a:prstGeom prst="line">
          <a:avLst/>
        </a:prstGeom>
        <a:noFill/>
        <a:ln w="9525">
          <a:solidFill>
            <a:srgbClr xmlns:mc="http://schemas.openxmlformats.org/markup-compatibility/2006" xmlns:a14="http://schemas.microsoft.com/office/drawing/2010/main" val="008000" mc:Ignorable="a14" a14:legacySpreadsheetColorIndex="17"/>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69</xdr:row>
      <xdr:rowOff>0</xdr:rowOff>
    </xdr:from>
    <xdr:to>
      <xdr:col>4</xdr:col>
      <xdr:colOff>0</xdr:colOff>
      <xdr:row>69</xdr:row>
      <xdr:rowOff>0</xdr:rowOff>
    </xdr:to>
    <xdr:sp macro="" textlink="">
      <xdr:nvSpPr>
        <xdr:cNvPr id="52264" name="Line 5">
          <a:extLst>
            <a:ext uri="{FF2B5EF4-FFF2-40B4-BE49-F238E27FC236}">
              <a16:creationId xmlns:a16="http://schemas.microsoft.com/office/drawing/2014/main" id="{00000000-0008-0000-0E00-000028CC0000}"/>
            </a:ext>
          </a:extLst>
        </xdr:cNvPr>
        <xdr:cNvSpPr>
          <a:spLocks noChangeShapeType="1"/>
        </xdr:cNvSpPr>
      </xdr:nvSpPr>
      <xdr:spPr bwMode="auto">
        <a:xfrm flipH="1">
          <a:off x="9540240" y="12832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customProperty" Target="../customProperty11.bin"/><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2" Type="http://schemas.openxmlformats.org/officeDocument/2006/relationships/customProperty" Target="../customProperty12.bin"/><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customProperty" Target="../customProperty13.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drawing" Target="../drawings/drawing2.xml"/><Relationship Id="rId7" Type="http://schemas.openxmlformats.org/officeDocument/2006/relationships/ctrlProp" Target="../ctrlProps/ctrlProp3.xml"/><Relationship Id="rId2" Type="http://schemas.openxmlformats.org/officeDocument/2006/relationships/customProperty" Target="../customProperty3.bin"/><Relationship Id="rId1" Type="http://schemas.openxmlformats.org/officeDocument/2006/relationships/printerSettings" Target="../printerSettings/printerSettings3.bin"/><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C3"/>
  <sheetViews>
    <sheetView workbookViewId="0">
      <selection activeCell="B3" sqref="B3"/>
    </sheetView>
  </sheetViews>
  <sheetFormatPr defaultRowHeight="15"/>
  <cols>
    <col min="1" max="1" width="22.33203125" bestFit="1" customWidth="1"/>
  </cols>
  <sheetData>
    <row r="1" spans="1:3">
      <c r="A1" t="s">
        <v>2590</v>
      </c>
      <c r="B1">
        <v>0</v>
      </c>
      <c r="C1">
        <f>VLOOKUP('J1 Form'!F54,Appliances!A1:B3,2)</f>
        <v>1200</v>
      </c>
    </row>
    <row r="2" spans="1:3">
      <c r="A2" t="s">
        <v>1226</v>
      </c>
      <c r="B2">
        <v>1200</v>
      </c>
    </row>
    <row r="3" spans="1:3">
      <c r="A3" t="s">
        <v>1227</v>
      </c>
      <c r="B3">
        <v>2400</v>
      </c>
    </row>
  </sheetData>
  <phoneticPr fontId="25" type="noConversion"/>
  <pageMargins left="0.75" right="0.75" top="1" bottom="1" header="0.5" footer="0.5"/>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7">
    <tabColor indexed="13"/>
  </sheetPr>
  <dimension ref="B2:C26"/>
  <sheetViews>
    <sheetView showGridLines="0" showRowColHeaders="0" zoomScale="90" zoomScaleNormal="88" workbookViewId="0">
      <selection activeCell="C6" sqref="C6"/>
    </sheetView>
  </sheetViews>
  <sheetFormatPr defaultColWidth="8.88671875" defaultRowHeight="12"/>
  <cols>
    <col min="1" max="1" width="2.77734375" style="4" customWidth="1"/>
    <col min="2" max="2" width="62.77734375" style="4" customWidth="1"/>
    <col min="3" max="3" width="8" style="455" bestFit="1" customWidth="1"/>
    <col min="4" max="16384" width="8.88671875" style="4"/>
  </cols>
  <sheetData>
    <row r="2" spans="2:3">
      <c r="B2" s="452" t="s">
        <v>2744</v>
      </c>
      <c r="C2" s="988" t="s">
        <v>1195</v>
      </c>
    </row>
    <row r="3" spans="2:3">
      <c r="B3" s="420" t="s">
        <v>1270</v>
      </c>
      <c r="C3" s="989"/>
    </row>
    <row r="4" spans="2:3" hidden="1">
      <c r="B4" s="9"/>
      <c r="C4" s="454"/>
    </row>
    <row r="5" spans="2:3">
      <c r="B5" s="578" t="s">
        <v>2807</v>
      </c>
      <c r="C5" s="579">
        <v>0.28000000000000003</v>
      </c>
    </row>
    <row r="6" spans="2:3">
      <c r="B6" s="578"/>
      <c r="C6" s="579"/>
    </row>
    <row r="7" spans="2:3">
      <c r="B7" s="578"/>
      <c r="C7" s="579"/>
    </row>
    <row r="8" spans="2:3">
      <c r="B8" s="578"/>
      <c r="C8" s="579"/>
    </row>
    <row r="9" spans="2:3">
      <c r="B9" s="578"/>
      <c r="C9" s="579"/>
    </row>
    <row r="10" spans="2:3">
      <c r="B10" s="578"/>
      <c r="C10" s="579"/>
    </row>
    <row r="12" spans="2:3">
      <c r="B12" s="992" t="s">
        <v>1122</v>
      </c>
      <c r="C12" s="993"/>
    </row>
    <row r="13" spans="2:3">
      <c r="B13" s="451" t="s">
        <v>1095</v>
      </c>
      <c r="C13" s="438"/>
    </row>
    <row r="14" spans="2:3">
      <c r="B14" s="451" t="s">
        <v>1123</v>
      </c>
      <c r="C14" s="438"/>
    </row>
    <row r="15" spans="2:3">
      <c r="B15" s="442" t="s">
        <v>1098</v>
      </c>
      <c r="C15" s="438"/>
    </row>
    <row r="16" spans="2:3">
      <c r="B16" s="442" t="s">
        <v>2526</v>
      </c>
      <c r="C16" s="456"/>
    </row>
    <row r="17" spans="2:3">
      <c r="B17" s="442" t="s">
        <v>2540</v>
      </c>
      <c r="C17" s="456"/>
    </row>
    <row r="18" spans="2:3">
      <c r="B18" s="495" t="s">
        <v>1270</v>
      </c>
      <c r="C18" s="428" t="s">
        <v>1195</v>
      </c>
    </row>
    <row r="19" spans="2:3">
      <c r="B19" s="563" t="s">
        <v>2476</v>
      </c>
      <c r="C19" s="470">
        <v>0.35</v>
      </c>
    </row>
    <row r="20" spans="2:3">
      <c r="B20" s="430"/>
      <c r="C20" s="457"/>
    </row>
    <row r="22" spans="2:3" ht="12.75" customHeight="1">
      <c r="B22" s="990" t="s">
        <v>1106</v>
      </c>
      <c r="C22" s="991"/>
    </row>
    <row r="23" spans="2:3">
      <c r="B23" s="458" t="s">
        <v>1124</v>
      </c>
      <c r="C23" s="445"/>
    </row>
    <row r="24" spans="2:3">
      <c r="B24" s="442" t="s">
        <v>1125</v>
      </c>
      <c r="C24" s="445"/>
    </row>
    <row r="25" spans="2:3">
      <c r="B25" s="442" t="s">
        <v>1126</v>
      </c>
      <c r="C25" s="445"/>
    </row>
    <row r="26" spans="2:3">
      <c r="B26" s="446" t="s">
        <v>1127</v>
      </c>
      <c r="C26" s="459"/>
    </row>
  </sheetData>
  <mergeCells count="3">
    <mergeCell ref="C2:C3"/>
    <mergeCell ref="B22:C22"/>
    <mergeCell ref="B12:C12"/>
  </mergeCells>
  <phoneticPr fontId="25" type="noConversion"/>
  <printOptions horizontalCentered="1"/>
  <pageMargins left="0.25" right="0.25" top="1" bottom="1" header="0" footer="0"/>
  <pageSetup scale="85" orientation="portrait" blackAndWhite="1" r:id="rId1"/>
  <headerFooter alignWithMargins="0"/>
  <rowBreaks count="1" manualBreakCount="1">
    <brk id="10" min="1" max="2" man="1"/>
  </rowBreaks>
  <customProperties>
    <customPr name="SSCSheetTrackingNo"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tabColor indexed="13"/>
  </sheetPr>
  <dimension ref="B2:I66"/>
  <sheetViews>
    <sheetView showGridLines="0" showRowColHeaders="0" zoomScale="90" zoomScaleNormal="88" workbookViewId="0">
      <selection activeCell="E8" sqref="E8"/>
    </sheetView>
  </sheetViews>
  <sheetFormatPr defaultColWidth="8.88671875" defaultRowHeight="12"/>
  <cols>
    <col min="1" max="1" width="2.77734375" style="4" customWidth="1"/>
    <col min="2" max="2" width="58.77734375" style="4" customWidth="1"/>
    <col min="3" max="3" width="6.77734375" style="455" customWidth="1"/>
    <col min="4" max="8" width="6.77734375" style="4" customWidth="1"/>
    <col min="9" max="9" width="8.88671875" style="4" hidden="1" customWidth="1"/>
    <col min="10" max="16384" width="8.88671875" style="4"/>
  </cols>
  <sheetData>
    <row r="2" spans="2:9">
      <c r="B2" s="452" t="s">
        <v>2264</v>
      </c>
      <c r="C2" s="996" t="s">
        <v>2619</v>
      </c>
      <c r="D2" s="999" t="s">
        <v>2190</v>
      </c>
      <c r="E2" s="1000"/>
      <c r="F2" s="1000"/>
      <c r="G2" s="1000"/>
      <c r="H2" s="1001"/>
    </row>
    <row r="3" spans="2:9">
      <c r="B3" s="420" t="s">
        <v>2266</v>
      </c>
      <c r="C3" s="997"/>
      <c r="D3" s="601" t="s">
        <v>1225</v>
      </c>
      <c r="E3" s="601" t="s">
        <v>1252</v>
      </c>
      <c r="F3" s="601" t="s">
        <v>1253</v>
      </c>
      <c r="G3" s="601" t="s">
        <v>1254</v>
      </c>
      <c r="H3" s="601" t="s">
        <v>1201</v>
      </c>
    </row>
    <row r="4" spans="2:9" hidden="1">
      <c r="B4" s="9"/>
      <c r="C4" s="454"/>
      <c r="D4" s="583"/>
      <c r="E4" s="583"/>
      <c r="F4" s="583"/>
      <c r="G4" s="583"/>
      <c r="H4" s="583"/>
    </row>
    <row r="5" spans="2:9">
      <c r="B5" s="578" t="s">
        <v>2798</v>
      </c>
      <c r="C5" s="579">
        <v>0.56999999999999995</v>
      </c>
      <c r="D5" s="583">
        <v>18</v>
      </c>
      <c r="E5" s="583">
        <v>46</v>
      </c>
      <c r="F5" s="583">
        <v>67</v>
      </c>
      <c r="G5" s="583">
        <v>57</v>
      </c>
      <c r="H5" s="583">
        <v>32</v>
      </c>
      <c r="I5" s="420"/>
    </row>
    <row r="6" spans="2:9">
      <c r="B6" s="578" t="s">
        <v>2799</v>
      </c>
      <c r="C6" s="579">
        <v>0.56999999999999995</v>
      </c>
      <c r="D6" s="583">
        <v>18</v>
      </c>
      <c r="E6" s="583">
        <v>46</v>
      </c>
      <c r="F6" s="583">
        <v>67</v>
      </c>
      <c r="G6" s="583">
        <v>57</v>
      </c>
      <c r="H6" s="583">
        <v>32</v>
      </c>
      <c r="I6" s="233" t="str">
        <f>D3</f>
        <v>N</v>
      </c>
    </row>
    <row r="7" spans="2:9">
      <c r="B7" s="578"/>
      <c r="C7" s="579"/>
      <c r="D7" s="583"/>
      <c r="E7" s="583"/>
      <c r="F7" s="583"/>
      <c r="G7" s="583"/>
      <c r="H7" s="583"/>
      <c r="I7" s="233" t="str">
        <f>E3</f>
        <v>NE/NW</v>
      </c>
    </row>
    <row r="8" spans="2:9">
      <c r="B8" s="578"/>
      <c r="C8" s="579"/>
      <c r="D8" s="583"/>
      <c r="E8" s="583"/>
      <c r="F8" s="583"/>
      <c r="G8" s="583"/>
      <c r="H8" s="583"/>
      <c r="I8" s="233" t="str">
        <f>F3</f>
        <v>E/W</v>
      </c>
    </row>
    <row r="9" spans="2:9">
      <c r="B9" s="578"/>
      <c r="C9" s="579"/>
      <c r="D9" s="583"/>
      <c r="E9" s="583"/>
      <c r="F9" s="583"/>
      <c r="G9" s="583"/>
      <c r="H9" s="583"/>
      <c r="I9" s="233" t="str">
        <f>G3</f>
        <v>SE/SW</v>
      </c>
    </row>
    <row r="10" spans="2:9">
      <c r="B10" s="578"/>
      <c r="C10" s="579"/>
      <c r="D10" s="583"/>
      <c r="E10" s="583"/>
      <c r="F10" s="583"/>
      <c r="G10" s="583"/>
      <c r="H10" s="583"/>
      <c r="I10" s="233" t="str">
        <f>H3</f>
        <v>S</v>
      </c>
    </row>
    <row r="11" spans="2:9">
      <c r="B11" s="578"/>
      <c r="C11" s="579"/>
      <c r="D11" s="583"/>
      <c r="E11" s="583"/>
      <c r="F11" s="583"/>
      <c r="G11" s="583"/>
      <c r="H11" s="583"/>
    </row>
    <row r="12" spans="2:9">
      <c r="B12" s="578"/>
      <c r="C12" s="579"/>
      <c r="D12" s="583"/>
      <c r="E12" s="583"/>
      <c r="F12" s="583"/>
      <c r="G12" s="583"/>
      <c r="H12" s="583"/>
    </row>
    <row r="13" spans="2:9">
      <c r="B13" s="452" t="s">
        <v>2265</v>
      </c>
      <c r="C13" s="998" t="s">
        <v>2619</v>
      </c>
      <c r="D13" s="999" t="s">
        <v>2190</v>
      </c>
      <c r="E13" s="1000"/>
      <c r="F13" s="1000"/>
      <c r="G13" s="1000"/>
      <c r="H13" s="1001"/>
    </row>
    <row r="14" spans="2:9">
      <c r="B14" s="420" t="s">
        <v>2743</v>
      </c>
      <c r="C14" s="989"/>
      <c r="D14" s="601" t="str">
        <f>D3</f>
        <v>N</v>
      </c>
      <c r="E14" s="601" t="str">
        <f>E3</f>
        <v>NE/NW</v>
      </c>
      <c r="F14" s="601" t="str">
        <f>F3</f>
        <v>E/W</v>
      </c>
      <c r="G14" s="601" t="str">
        <f>G3</f>
        <v>SE/SW</v>
      </c>
      <c r="H14" s="601" t="str">
        <f>H3</f>
        <v>S</v>
      </c>
    </row>
    <row r="15" spans="2:9" hidden="1">
      <c r="B15" s="9"/>
      <c r="C15" s="454"/>
      <c r="D15" s="583"/>
      <c r="E15" s="583"/>
      <c r="F15" s="583"/>
      <c r="G15" s="583"/>
      <c r="H15" s="583"/>
    </row>
    <row r="16" spans="2:9">
      <c r="B16" s="578" t="s">
        <v>2797</v>
      </c>
      <c r="C16" s="579">
        <v>1.1299999999999999</v>
      </c>
      <c r="D16" s="583">
        <v>121</v>
      </c>
      <c r="E16" s="583">
        <v>140</v>
      </c>
      <c r="F16" s="583">
        <v>155</v>
      </c>
      <c r="G16" s="583">
        <v>148</v>
      </c>
      <c r="H16" s="583">
        <v>131</v>
      </c>
    </row>
    <row r="17" spans="2:8">
      <c r="B17" s="578"/>
      <c r="C17" s="579"/>
      <c r="D17" s="583"/>
      <c r="E17" s="583"/>
      <c r="F17" s="583"/>
      <c r="G17" s="583"/>
      <c r="H17" s="583"/>
    </row>
    <row r="18" spans="2:8">
      <c r="B18" s="578"/>
      <c r="C18" s="579"/>
      <c r="D18" s="583"/>
      <c r="E18" s="583"/>
      <c r="F18" s="583"/>
      <c r="G18" s="583"/>
      <c r="H18" s="583"/>
    </row>
    <row r="19" spans="2:8">
      <c r="B19" s="578"/>
      <c r="C19" s="579"/>
      <c r="D19" s="583"/>
      <c r="E19" s="583"/>
      <c r="F19" s="583"/>
      <c r="G19" s="583"/>
      <c r="H19" s="583"/>
    </row>
    <row r="20" spans="2:8">
      <c r="B20" s="578"/>
      <c r="C20" s="579"/>
      <c r="D20" s="583"/>
      <c r="E20" s="583"/>
      <c r="F20" s="583"/>
      <c r="G20" s="583"/>
      <c r="H20" s="583"/>
    </row>
    <row r="22" spans="2:8">
      <c r="B22" s="992" t="s">
        <v>1094</v>
      </c>
      <c r="C22" s="995"/>
      <c r="D22" s="995"/>
      <c r="E22" s="995"/>
      <c r="F22" s="995"/>
      <c r="G22" s="993"/>
    </row>
    <row r="23" spans="2:8">
      <c r="B23" s="451" t="s">
        <v>1095</v>
      </c>
      <c r="C23" s="460"/>
      <c r="D23" s="444"/>
      <c r="E23" s="444"/>
      <c r="F23" s="444"/>
      <c r="G23" s="445"/>
    </row>
    <row r="24" spans="2:8">
      <c r="B24" s="451" t="s">
        <v>1096</v>
      </c>
      <c r="C24" s="460"/>
      <c r="D24" s="444"/>
      <c r="E24" s="444"/>
      <c r="F24" s="444"/>
      <c r="G24" s="445"/>
    </row>
    <row r="25" spans="2:8">
      <c r="B25" s="451" t="s">
        <v>1097</v>
      </c>
      <c r="C25" s="460"/>
      <c r="D25" s="444"/>
      <c r="E25" s="444"/>
      <c r="F25" s="444"/>
      <c r="G25" s="445"/>
    </row>
    <row r="26" spans="2:8">
      <c r="B26" s="442" t="s">
        <v>1098</v>
      </c>
      <c r="C26" s="444"/>
      <c r="D26" s="444"/>
      <c r="E26" s="444"/>
      <c r="F26" s="444"/>
      <c r="G26" s="445"/>
    </row>
    <row r="27" spans="2:8">
      <c r="B27" s="442" t="s">
        <v>1099</v>
      </c>
      <c r="C27" s="444"/>
      <c r="D27" s="444"/>
      <c r="E27" s="444"/>
      <c r="F27" s="444"/>
      <c r="G27" s="445"/>
    </row>
    <row r="28" spans="2:8">
      <c r="B28" s="442" t="s">
        <v>2620</v>
      </c>
      <c r="C28" s="444"/>
      <c r="D28" s="444"/>
      <c r="E28" s="444"/>
      <c r="F28" s="444"/>
      <c r="G28" s="445"/>
    </row>
    <row r="29" spans="2:8">
      <c r="B29" s="442" t="s">
        <v>2191</v>
      </c>
      <c r="C29" s="460"/>
      <c r="D29" s="444"/>
      <c r="E29" s="444"/>
      <c r="F29" s="444"/>
      <c r="G29" s="445"/>
    </row>
    <row r="30" spans="2:8">
      <c r="B30" s="442" t="s">
        <v>1100</v>
      </c>
      <c r="C30" s="461"/>
      <c r="D30" s="419"/>
      <c r="E30" s="419"/>
      <c r="F30" s="419"/>
      <c r="G30" s="462"/>
    </row>
    <row r="31" spans="2:8">
      <c r="B31" s="495" t="s">
        <v>1291</v>
      </c>
      <c r="C31" s="233" t="s">
        <v>1195</v>
      </c>
      <c r="D31" s="157"/>
      <c r="E31" s="157"/>
      <c r="F31" s="157"/>
      <c r="G31" s="463"/>
    </row>
    <row r="32" spans="2:8">
      <c r="B32" s="561" t="s">
        <v>1292</v>
      </c>
      <c r="C32" s="562">
        <v>0.87</v>
      </c>
      <c r="D32" s="157"/>
      <c r="E32" s="157"/>
      <c r="F32" s="157"/>
      <c r="G32" s="463"/>
    </row>
    <row r="33" spans="2:7">
      <c r="B33" s="442" t="s">
        <v>1101</v>
      </c>
      <c r="C33" s="444"/>
      <c r="D33" s="157"/>
      <c r="E33" s="157"/>
      <c r="F33" s="157"/>
      <c r="G33" s="463"/>
    </row>
    <row r="34" spans="2:7">
      <c r="B34" s="442" t="s">
        <v>1100</v>
      </c>
      <c r="C34" s="444"/>
      <c r="D34" s="157"/>
      <c r="E34" s="157"/>
      <c r="F34" s="157"/>
      <c r="G34" s="463"/>
    </row>
    <row r="35" spans="2:7">
      <c r="B35" s="495" t="s">
        <v>1293</v>
      </c>
      <c r="C35" s="233" t="s">
        <v>1195</v>
      </c>
      <c r="D35" s="157"/>
      <c r="E35" s="157"/>
      <c r="F35" s="157"/>
      <c r="G35" s="463"/>
    </row>
    <row r="36" spans="2:7">
      <c r="B36" s="561" t="s">
        <v>1294</v>
      </c>
      <c r="C36" s="562">
        <v>0.94</v>
      </c>
      <c r="D36" s="157"/>
      <c r="E36" s="157"/>
      <c r="F36" s="157"/>
      <c r="G36" s="463"/>
    </row>
    <row r="37" spans="2:7">
      <c r="B37" s="451" t="s">
        <v>1102</v>
      </c>
      <c r="C37" s="460"/>
      <c r="D37" s="157"/>
      <c r="E37" s="157"/>
      <c r="F37" s="157"/>
      <c r="G37" s="463"/>
    </row>
    <row r="38" spans="2:7">
      <c r="B38" s="442" t="s">
        <v>1103</v>
      </c>
      <c r="C38" s="460"/>
      <c r="D38" s="157"/>
      <c r="E38" s="157"/>
      <c r="F38" s="157"/>
      <c r="G38" s="463"/>
    </row>
    <row r="39" spans="2:7">
      <c r="B39" s="442" t="s">
        <v>2621</v>
      </c>
      <c r="C39" s="460"/>
      <c r="D39" s="157"/>
      <c r="E39" s="157"/>
      <c r="F39" s="157"/>
      <c r="G39" s="463"/>
    </row>
    <row r="40" spans="2:7">
      <c r="B40" s="442" t="s">
        <v>2540</v>
      </c>
      <c r="C40" s="460"/>
      <c r="D40" s="157"/>
      <c r="E40" s="157"/>
      <c r="F40" s="157"/>
      <c r="G40" s="463"/>
    </row>
    <row r="41" spans="2:7">
      <c r="B41" s="505" t="s">
        <v>1295</v>
      </c>
      <c r="C41" s="428" t="s">
        <v>1225</v>
      </c>
      <c r="D41" s="428" t="s">
        <v>1252</v>
      </c>
      <c r="E41" s="428" t="s">
        <v>1253</v>
      </c>
      <c r="F41" s="428" t="s">
        <v>1254</v>
      </c>
      <c r="G41" s="428" t="s">
        <v>1201</v>
      </c>
    </row>
    <row r="42" spans="2:7">
      <c r="B42" s="563" t="s">
        <v>1296</v>
      </c>
      <c r="C42" s="448">
        <v>13</v>
      </c>
      <c r="D42" s="448">
        <v>30</v>
      </c>
      <c r="E42" s="448">
        <v>43</v>
      </c>
      <c r="F42" s="448">
        <v>37</v>
      </c>
      <c r="G42" s="448">
        <v>21</v>
      </c>
    </row>
    <row r="43" spans="2:7">
      <c r="B43" s="451" t="s">
        <v>1104</v>
      </c>
      <c r="C43" s="460"/>
      <c r="D43" s="444"/>
      <c r="E43" s="444"/>
      <c r="F43" s="444"/>
      <c r="G43" s="445"/>
    </row>
    <row r="44" spans="2:7">
      <c r="B44" s="442" t="s">
        <v>1105</v>
      </c>
      <c r="C44" s="460"/>
      <c r="D44" s="444"/>
      <c r="E44" s="444"/>
      <c r="F44" s="444"/>
      <c r="G44" s="445"/>
    </row>
    <row r="45" spans="2:7">
      <c r="B45" s="442" t="s">
        <v>2621</v>
      </c>
      <c r="C45" s="460"/>
      <c r="D45" s="444"/>
      <c r="E45" s="444"/>
      <c r="F45" s="444"/>
      <c r="G45" s="445"/>
    </row>
    <row r="46" spans="2:7">
      <c r="B46" s="442" t="s">
        <v>2540</v>
      </c>
      <c r="C46" s="460"/>
      <c r="D46" s="444"/>
      <c r="E46" s="444"/>
      <c r="F46" s="444"/>
      <c r="G46" s="445"/>
    </row>
    <row r="47" spans="2:7">
      <c r="B47" s="505" t="s">
        <v>1297</v>
      </c>
      <c r="C47" s="428" t="s">
        <v>1225</v>
      </c>
      <c r="D47" s="428" t="s">
        <v>1252</v>
      </c>
      <c r="E47" s="428" t="s">
        <v>1253</v>
      </c>
      <c r="F47" s="428" t="s">
        <v>1254</v>
      </c>
      <c r="G47" s="428" t="s">
        <v>1201</v>
      </c>
    </row>
    <row r="48" spans="2:7">
      <c r="B48" s="563" t="s">
        <v>1298</v>
      </c>
      <c r="C48" s="448">
        <v>142</v>
      </c>
      <c r="D48" s="448">
        <v>156</v>
      </c>
      <c r="E48" s="448">
        <v>167</v>
      </c>
      <c r="F48" s="448">
        <v>162</v>
      </c>
      <c r="G48" s="448">
        <v>150</v>
      </c>
    </row>
    <row r="49" spans="2:7">
      <c r="B49" s="430"/>
      <c r="C49" s="464"/>
      <c r="D49" s="465"/>
      <c r="E49" s="465"/>
      <c r="F49" s="465"/>
      <c r="G49" s="457"/>
    </row>
    <row r="51" spans="2:7" ht="12.75" customHeight="1">
      <c r="B51" s="990" t="s">
        <v>1106</v>
      </c>
      <c r="C51" s="994"/>
      <c r="D51" s="994"/>
      <c r="E51" s="994"/>
      <c r="F51" s="994"/>
      <c r="G51" s="991"/>
    </row>
    <row r="52" spans="2:7">
      <c r="B52" s="429" t="s">
        <v>1109</v>
      </c>
      <c r="C52" s="444"/>
      <c r="D52" s="444"/>
      <c r="E52" s="444"/>
      <c r="F52" s="444"/>
      <c r="G52" s="445"/>
    </row>
    <row r="53" spans="2:7">
      <c r="B53" s="442" t="s">
        <v>1110</v>
      </c>
      <c r="C53" s="444"/>
      <c r="D53" s="444"/>
      <c r="E53" s="444"/>
      <c r="F53" s="444"/>
      <c r="G53" s="445"/>
    </row>
    <row r="54" spans="2:7">
      <c r="B54" s="442" t="s">
        <v>1111</v>
      </c>
      <c r="C54" s="444"/>
      <c r="D54" s="444"/>
      <c r="E54" s="444"/>
      <c r="F54" s="444"/>
      <c r="G54" s="445"/>
    </row>
    <row r="55" spans="2:7">
      <c r="B55" s="442" t="s">
        <v>1112</v>
      </c>
      <c r="C55" s="444"/>
      <c r="D55" s="444"/>
      <c r="E55" s="444"/>
      <c r="F55" s="444"/>
      <c r="G55" s="445"/>
    </row>
    <row r="56" spans="2:7">
      <c r="B56" s="442" t="s">
        <v>1113</v>
      </c>
      <c r="C56" s="444"/>
      <c r="D56" s="444"/>
      <c r="E56" s="444"/>
      <c r="F56" s="444"/>
      <c r="G56" s="445"/>
    </row>
    <row r="57" spans="2:7">
      <c r="B57" s="442" t="s">
        <v>1114</v>
      </c>
      <c r="C57" s="444"/>
      <c r="D57" s="444"/>
      <c r="E57" s="444"/>
      <c r="F57" s="444"/>
      <c r="G57" s="445"/>
    </row>
    <row r="58" spans="2:7">
      <c r="B58" s="442" t="s">
        <v>1115</v>
      </c>
      <c r="C58" s="444"/>
      <c r="D58" s="444"/>
      <c r="E58" s="444"/>
      <c r="F58" s="444"/>
      <c r="G58" s="445"/>
    </row>
    <row r="59" spans="2:7">
      <c r="B59" s="429" t="s">
        <v>1116</v>
      </c>
      <c r="C59" s="444"/>
      <c r="D59" s="444"/>
      <c r="E59" s="444"/>
      <c r="F59" s="444"/>
      <c r="G59" s="445"/>
    </row>
    <row r="60" spans="2:7">
      <c r="B60" s="442" t="s">
        <v>1117</v>
      </c>
      <c r="C60" s="444"/>
      <c r="D60" s="444"/>
      <c r="E60" s="444"/>
      <c r="F60" s="444"/>
      <c r="G60" s="445"/>
    </row>
    <row r="61" spans="2:7">
      <c r="B61" s="442" t="s">
        <v>1111</v>
      </c>
      <c r="C61" s="444"/>
      <c r="D61" s="444"/>
      <c r="E61" s="444"/>
      <c r="F61" s="444"/>
      <c r="G61" s="445"/>
    </row>
    <row r="62" spans="2:7">
      <c r="B62" s="442" t="s">
        <v>1118</v>
      </c>
      <c r="C62" s="444"/>
      <c r="D62" s="444"/>
      <c r="E62" s="444"/>
      <c r="F62" s="444"/>
      <c r="G62" s="445"/>
    </row>
    <row r="63" spans="2:7">
      <c r="B63" s="442" t="s">
        <v>1119</v>
      </c>
      <c r="C63" s="444"/>
      <c r="D63" s="444"/>
      <c r="E63" s="444"/>
      <c r="F63" s="444"/>
      <c r="G63" s="445"/>
    </row>
    <row r="64" spans="2:7">
      <c r="B64" s="442" t="s">
        <v>1113</v>
      </c>
      <c r="C64" s="444"/>
      <c r="D64" s="444"/>
      <c r="E64" s="444"/>
      <c r="F64" s="444"/>
      <c r="G64" s="445"/>
    </row>
    <row r="65" spans="2:7">
      <c r="B65" s="442" t="s">
        <v>1120</v>
      </c>
      <c r="C65" s="444"/>
      <c r="D65" s="444"/>
      <c r="E65" s="444"/>
      <c r="F65" s="444"/>
      <c r="G65" s="445"/>
    </row>
    <row r="66" spans="2:7">
      <c r="B66" s="446" t="s">
        <v>1121</v>
      </c>
      <c r="C66" s="477"/>
      <c r="D66" s="477"/>
      <c r="E66" s="477"/>
      <c r="F66" s="477"/>
      <c r="G66" s="459"/>
    </row>
  </sheetData>
  <mergeCells count="6">
    <mergeCell ref="B51:G51"/>
    <mergeCell ref="B22:G22"/>
    <mergeCell ref="C2:C3"/>
    <mergeCell ref="C13:C14"/>
    <mergeCell ref="D2:H2"/>
    <mergeCell ref="D13:H13"/>
  </mergeCells>
  <phoneticPr fontId="25" type="noConversion"/>
  <printOptions horizontalCentered="1"/>
  <pageMargins left="0.25" right="0.25" top="1" bottom="1" header="0.5" footer="0.5"/>
  <pageSetup scale="85" orientation="portrait" blackAndWhite="1" r:id="rId1"/>
  <headerFooter alignWithMargins="0"/>
  <rowBreaks count="1" manualBreakCount="1">
    <brk id="20" min="1" max="6" man="1"/>
  </rowBreaks>
  <customProperties>
    <customPr name="SSCSheetTrackingNo" r:id="rId2"/>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tabColor indexed="13"/>
  </sheetPr>
  <dimension ref="B2:I78"/>
  <sheetViews>
    <sheetView showGridLines="0" showRowColHeaders="0" zoomScale="90" zoomScaleNormal="88" workbookViewId="0">
      <selection activeCell="B26" sqref="B26"/>
    </sheetView>
  </sheetViews>
  <sheetFormatPr defaultColWidth="8.88671875" defaultRowHeight="12"/>
  <cols>
    <col min="1" max="1" width="2.77734375" style="4" customWidth="1"/>
    <col min="2" max="2" width="62.77734375" style="4" customWidth="1"/>
    <col min="3" max="5" width="8.88671875" style="478"/>
    <col min="6" max="9" width="8.88671875" style="4" hidden="1" customWidth="1"/>
    <col min="10" max="16384" width="8.88671875" style="4"/>
  </cols>
  <sheetData>
    <row r="2" spans="2:9">
      <c r="B2" s="452" t="s">
        <v>1036</v>
      </c>
      <c r="C2" s="1010" t="s">
        <v>1195</v>
      </c>
      <c r="D2" s="1010" t="s">
        <v>1211</v>
      </c>
      <c r="E2" s="1002" t="s">
        <v>1053</v>
      </c>
      <c r="F2" s="4" t="s">
        <v>1196</v>
      </c>
      <c r="G2" s="4" t="s">
        <v>1223</v>
      </c>
      <c r="H2" s="4" t="s">
        <v>1224</v>
      </c>
    </row>
    <row r="3" spans="2:9">
      <c r="B3" s="421" t="s">
        <v>1047</v>
      </c>
      <c r="C3" s="1003"/>
      <c r="D3" s="1003"/>
      <c r="E3" s="1003" t="s">
        <v>1052</v>
      </c>
    </row>
    <row r="4" spans="2:9" hidden="1">
      <c r="B4" s="9"/>
      <c r="C4" s="466"/>
      <c r="D4" s="466"/>
      <c r="E4" s="466"/>
    </row>
    <row r="5" spans="2:9">
      <c r="B5" s="578" t="s">
        <v>2793</v>
      </c>
      <c r="C5" s="579">
        <v>0.10299999999999999</v>
      </c>
      <c r="D5" s="579" t="s">
        <v>1219</v>
      </c>
      <c r="E5" s="467" t="s">
        <v>2625</v>
      </c>
      <c r="F5" s="4">
        <f>IF(D5="",0,INDEX(Group!$A$15:$L$27,Walls!G5,Walls!H5))</f>
        <v>8.3000000000000007</v>
      </c>
      <c r="G5" s="4">
        <f>VLOOKUP(Calc!$D$1,Group!$A$1:$B$12,2)</f>
        <v>3</v>
      </c>
      <c r="H5" s="4">
        <f>VLOOKUP(D5,Group!$C$1:$D$11,2)</f>
        <v>8</v>
      </c>
      <c r="I5" s="4">
        <f>IF(D5="",0,INDEX(Group!$A$30:$L$42,Walls!G5,Walls!H5))</f>
        <v>1.6</v>
      </c>
    </row>
    <row r="6" spans="2:9">
      <c r="B6" s="578" t="s">
        <v>2794</v>
      </c>
      <c r="C6" s="579">
        <v>6.5000000000000002E-2</v>
      </c>
      <c r="D6" s="579" t="s">
        <v>1218</v>
      </c>
      <c r="E6" s="467" t="s">
        <v>2625</v>
      </c>
      <c r="F6" s="4">
        <f>IF(D6="",0,INDEX(Group!$A$15:$L$27,Walls!G6,Walls!H6))</f>
        <v>10.3</v>
      </c>
      <c r="G6" s="4">
        <f>VLOOKUP(Calc!$D$1,Group!$A$1:$B$12,2)</f>
        <v>3</v>
      </c>
      <c r="H6" s="4">
        <f>VLOOKUP(D6,Group!$C$1:$D$11,2)</f>
        <v>7</v>
      </c>
      <c r="I6" s="4">
        <f>IF(D6="",0,INDEX(Group!$A$30:$L$42,Walls!G6,Walls!H6))</f>
        <v>2.9</v>
      </c>
    </row>
    <row r="7" spans="2:9">
      <c r="B7" s="578" t="s">
        <v>2805</v>
      </c>
      <c r="C7" s="579">
        <v>0.48799999999999999</v>
      </c>
      <c r="D7" s="579" t="s">
        <v>1219</v>
      </c>
      <c r="E7" s="467" t="s">
        <v>1054</v>
      </c>
      <c r="F7" s="4">
        <f>IF(D7="",0,INDEX(Group!$A$15:$L$27,Walls!G7,Walls!H7))</f>
        <v>8.3000000000000007</v>
      </c>
      <c r="G7" s="4">
        <f>VLOOKUP(Calc!$D$1,Group!$A$1:$B$12,2)</f>
        <v>3</v>
      </c>
      <c r="H7" s="4">
        <f>VLOOKUP(D7,Group!$C$1:$D$11,2)</f>
        <v>8</v>
      </c>
      <c r="I7" s="4">
        <f>IF(D7="",0,INDEX(Group!$A$30:$L$42,Walls!G7,Walls!H7))</f>
        <v>1.6</v>
      </c>
    </row>
    <row r="8" spans="2:9">
      <c r="B8" s="578" t="s">
        <v>2806</v>
      </c>
      <c r="C8" s="579">
        <v>0.16500000000000001</v>
      </c>
      <c r="D8" s="579" t="s">
        <v>1220</v>
      </c>
      <c r="E8" s="467" t="s">
        <v>1054</v>
      </c>
      <c r="F8" s="4">
        <f>IF(D8="",0,INDEX(Group!$A$15:$L$27,Walls!G8,Walls!H8))</f>
        <v>7.7</v>
      </c>
      <c r="G8" s="4">
        <f>VLOOKUP(Calc!$D$1,Group!$A$1:$B$12,2)</f>
        <v>3</v>
      </c>
      <c r="H8" s="4">
        <f>VLOOKUP(D8,Group!$C$1:$D$11,2)</f>
        <v>9</v>
      </c>
      <c r="I8" s="4">
        <f>IF(D8="",0,INDEX(Group!$A$30:$L$42,Walls!G8,Walls!H8))</f>
        <v>1.3</v>
      </c>
    </row>
    <row r="9" spans="2:9">
      <c r="B9" s="578" t="s">
        <v>2804</v>
      </c>
      <c r="C9" s="579">
        <v>6.7000000000000004E-2</v>
      </c>
      <c r="D9" s="579" t="s">
        <v>1212</v>
      </c>
      <c r="E9" s="467" t="s">
        <v>1054</v>
      </c>
      <c r="F9" s="4">
        <f>IF(D9="",0,INDEX(Group!$A$15:$L$27,Walls!G9,Walls!H9))</f>
        <v>5.6</v>
      </c>
      <c r="G9" s="4">
        <f>VLOOKUP(Calc!$D$1,Group!$A$1:$B$12,2)</f>
        <v>3</v>
      </c>
      <c r="H9" s="4">
        <f>VLOOKUP(D9,Group!$C$1:$D$11,2)</f>
        <v>12</v>
      </c>
      <c r="I9" s="4">
        <f>IF(D9="",0,INDEX(Group!$A$30:$L$42,Walls!G9,Walls!H9))</f>
        <v>0.5</v>
      </c>
    </row>
    <row r="10" spans="2:9">
      <c r="B10" s="578"/>
      <c r="C10" s="579"/>
      <c r="D10" s="579"/>
      <c r="E10" s="467" t="s">
        <v>1054</v>
      </c>
      <c r="F10" s="4">
        <f>IF(D10="",0,INDEX(Group!$A$15:$L$27,Walls!G10,Walls!H10))</f>
        <v>0</v>
      </c>
      <c r="G10" s="4">
        <f>VLOOKUP(Calc!$D$1,Group!$A$1:$B$12,2)</f>
        <v>3</v>
      </c>
      <c r="H10" s="4" t="e">
        <f>VLOOKUP(D10,Group!$C$1:$D$11,2)</f>
        <v>#N/A</v>
      </c>
      <c r="I10" s="4">
        <f>IF(D10="",0,INDEX(Group!$A$30:$L$42,Walls!G10,Walls!H10))</f>
        <v>0</v>
      </c>
    </row>
    <row r="11" spans="2:9">
      <c r="B11" s="578"/>
      <c r="C11" s="579"/>
      <c r="D11" s="579"/>
      <c r="E11" s="467" t="s">
        <v>1054</v>
      </c>
      <c r="F11" s="4">
        <f>IF(D11="",0,INDEX(Group!$A$15:$L$27,Walls!G11,Walls!H11))</f>
        <v>0</v>
      </c>
      <c r="G11" s="4">
        <f>VLOOKUP(Calc!$D$1,Group!$A$1:$B$12,2)</f>
        <v>3</v>
      </c>
      <c r="H11" s="4" t="e">
        <f>VLOOKUP(D11,Group!$C$1:$D$11,2)</f>
        <v>#N/A</v>
      </c>
      <c r="I11" s="4">
        <f>IF(D11="",0,INDEX(Group!$A$30:$L$42,Walls!G11,Walls!H11))</f>
        <v>0</v>
      </c>
    </row>
    <row r="12" spans="2:9">
      <c r="B12" s="578"/>
      <c r="C12" s="579"/>
      <c r="D12" s="579"/>
      <c r="E12" s="467" t="s">
        <v>1054</v>
      </c>
      <c r="F12" s="4">
        <f>IF(D12="",0,INDEX(Group!$A$15:$L$27,Walls!G12,Walls!H12))</f>
        <v>0</v>
      </c>
      <c r="G12" s="4">
        <f>VLOOKUP(Calc!$D$1,Group!$A$1:$B$12,2)</f>
        <v>3</v>
      </c>
      <c r="H12" s="4" t="e">
        <f>VLOOKUP(D12,Group!$C$1:$D$11,2)</f>
        <v>#N/A</v>
      </c>
      <c r="I12" s="4">
        <f>IF(D12="",0,INDEX(Group!$A$30:$L$42,Walls!G12,Walls!H12))</f>
        <v>0</v>
      </c>
    </row>
    <row r="13" spans="2:9">
      <c r="B13" s="578"/>
      <c r="C13" s="579"/>
      <c r="D13" s="579"/>
      <c r="E13" s="467" t="s">
        <v>1054</v>
      </c>
      <c r="F13" s="4">
        <f>IF(D13="",0,INDEX(Group!$A$15:$L$27,Walls!G13,Walls!H13))</f>
        <v>0</v>
      </c>
      <c r="G13" s="4">
        <f>VLOOKUP(Calc!$D$1,Group!$A$1:$B$12,2)</f>
        <v>3</v>
      </c>
      <c r="H13" s="4" t="e">
        <f>VLOOKUP(D13,Group!$C$1:$D$11,2)</f>
        <v>#N/A</v>
      </c>
      <c r="I13" s="4">
        <f>IF(D13="",0,INDEX(Group!$A$30:$L$42,Walls!G13,Walls!H13))</f>
        <v>0</v>
      </c>
    </row>
    <row r="14" spans="2:9">
      <c r="B14" s="578"/>
      <c r="C14" s="579"/>
      <c r="D14" s="579"/>
      <c r="E14" s="467" t="s">
        <v>1054</v>
      </c>
      <c r="F14" s="4">
        <f>IF(D14="",0,INDEX(Group!$A$15:$L$27,Walls!G14,Walls!H14))</f>
        <v>0</v>
      </c>
      <c r="G14" s="4">
        <f>VLOOKUP(Calc!$D$1,Group!$A$1:$B$12,2)</f>
        <v>3</v>
      </c>
      <c r="H14" s="4" t="e">
        <f>VLOOKUP(D14,Group!$C$1:$D$11,2)</f>
        <v>#N/A</v>
      </c>
      <c r="I14" s="4">
        <f>IF(D14="",0,INDEX(Group!$A$30:$L$42,Walls!G14,Walls!H14))</f>
        <v>0</v>
      </c>
    </row>
    <row r="15" spans="2:9">
      <c r="B15" s="452" t="s">
        <v>1048</v>
      </c>
      <c r="C15" s="1010" t="s">
        <v>1195</v>
      </c>
      <c r="D15" s="1010" t="s">
        <v>1057</v>
      </c>
      <c r="E15" s="1010" t="s">
        <v>1058</v>
      </c>
    </row>
    <row r="16" spans="2:9">
      <c r="B16" s="420" t="s">
        <v>1049</v>
      </c>
      <c r="C16" s="1003"/>
      <c r="D16" s="1003"/>
      <c r="E16" s="1003"/>
      <c r="F16" s="468" t="s">
        <v>2716</v>
      </c>
      <c r="G16" s="468" t="s">
        <v>2717</v>
      </c>
    </row>
    <row r="17" spans="2:8" ht="12.75" hidden="1" customHeight="1">
      <c r="B17" s="469"/>
      <c r="C17" s="470"/>
      <c r="D17" s="471"/>
      <c r="E17" s="471"/>
    </row>
    <row r="18" spans="2:8">
      <c r="B18" s="578"/>
      <c r="C18" s="579"/>
      <c r="D18" s="584"/>
      <c r="E18" s="584"/>
      <c r="F18" s="4">
        <f>C18*D18</f>
        <v>0</v>
      </c>
      <c r="G18" s="4">
        <f>C18*E18</f>
        <v>0</v>
      </c>
    </row>
    <row r="19" spans="2:8">
      <c r="B19" s="578"/>
      <c r="C19" s="579"/>
      <c r="D19" s="584"/>
      <c r="E19" s="584"/>
      <c r="F19" s="4">
        <f>C19*D19</f>
        <v>0</v>
      </c>
      <c r="G19" s="4">
        <f>C19*E19</f>
        <v>0</v>
      </c>
    </row>
    <row r="20" spans="2:8">
      <c r="B20" s="578"/>
      <c r="C20" s="579"/>
      <c r="D20" s="584"/>
      <c r="E20" s="584"/>
      <c r="F20" s="4">
        <f>C20*D20</f>
        <v>0</v>
      </c>
      <c r="G20" s="4">
        <f>C20*E20</f>
        <v>0</v>
      </c>
    </row>
    <row r="21" spans="2:8">
      <c r="B21" s="578"/>
      <c r="C21" s="579"/>
      <c r="D21" s="584"/>
      <c r="E21" s="584"/>
      <c r="F21" s="4">
        <f>C21*D21</f>
        <v>0</v>
      </c>
      <c r="G21" s="4">
        <f>C21*E21</f>
        <v>0</v>
      </c>
    </row>
    <row r="22" spans="2:8">
      <c r="B22" s="578"/>
      <c r="C22" s="579"/>
      <c r="D22" s="584"/>
      <c r="E22" s="584"/>
      <c r="F22" s="4">
        <f>C22*D22</f>
        <v>0</v>
      </c>
      <c r="G22" s="4">
        <f>C22*E22</f>
        <v>0</v>
      </c>
    </row>
    <row r="23" spans="2:8">
      <c r="B23" s="452" t="s">
        <v>1050</v>
      </c>
      <c r="C23" s="1010" t="s">
        <v>1195</v>
      </c>
      <c r="D23" s="1004"/>
      <c r="E23" s="1005"/>
    </row>
    <row r="24" spans="2:8">
      <c r="B24" s="420" t="s">
        <v>1051</v>
      </c>
      <c r="C24" s="1003"/>
      <c r="D24" s="1006"/>
      <c r="E24" s="1007"/>
    </row>
    <row r="25" spans="2:8" ht="12.75" hidden="1" customHeight="1">
      <c r="B25" s="469"/>
      <c r="C25" s="470"/>
      <c r="D25" s="1006"/>
      <c r="E25" s="1007"/>
    </row>
    <row r="26" spans="2:8">
      <c r="B26" s="578" t="s">
        <v>2801</v>
      </c>
      <c r="C26" s="579">
        <v>0.154</v>
      </c>
      <c r="D26" s="1006"/>
      <c r="E26" s="1007"/>
      <c r="F26" s="4" t="e">
        <f>INDEX(Group!$A$15:$L$27,Walls!G26,Walls!H26)</f>
        <v>#N/A</v>
      </c>
      <c r="G26" s="4" t="e">
        <f>VLOOKUP(Calc!$D$1,Group!$A$4:$B$12,2)</f>
        <v>#N/A</v>
      </c>
      <c r="H26" s="4" t="e">
        <f>VLOOKUP(D26,Group!$C$1:$D$11,2)</f>
        <v>#N/A</v>
      </c>
    </row>
    <row r="27" spans="2:8">
      <c r="B27" s="578" t="s">
        <v>2802</v>
      </c>
      <c r="C27" s="579">
        <v>0.1</v>
      </c>
      <c r="D27" s="1006"/>
      <c r="E27" s="1007"/>
      <c r="F27" s="4" t="e">
        <f>INDEX(Group!$A$15:$L$27,Walls!G27,Walls!H27)</f>
        <v>#N/A</v>
      </c>
      <c r="G27" s="4" t="e">
        <f>VLOOKUP(Calc!$D$1,Group!$A$4:$B$12,2)</f>
        <v>#N/A</v>
      </c>
      <c r="H27" s="4" t="e">
        <f>VLOOKUP(D27,Group!$C$1:$D$11,2)</f>
        <v>#N/A</v>
      </c>
    </row>
    <row r="28" spans="2:8">
      <c r="B28" s="578" t="s">
        <v>2803</v>
      </c>
      <c r="C28" s="579">
        <v>4.3999999999999997E-2</v>
      </c>
      <c r="D28" s="1006"/>
      <c r="E28" s="1007"/>
    </row>
    <row r="29" spans="2:8">
      <c r="B29" s="578"/>
      <c r="C29" s="579"/>
      <c r="D29" s="1006"/>
      <c r="E29" s="1007"/>
      <c r="F29" s="4" t="e">
        <f>INDEX(Group!$A$15:$L$27,Walls!G29,Walls!H29)</f>
        <v>#N/A</v>
      </c>
      <c r="G29" s="4" t="e">
        <f>VLOOKUP(Calc!$D$1,Group!$A$4:$B$12,2)</f>
        <v>#N/A</v>
      </c>
      <c r="H29" s="4" t="e">
        <f>VLOOKUP(D29,Group!$C$1:$D$11,2)</f>
        <v>#N/A</v>
      </c>
    </row>
    <row r="30" spans="2:8">
      <c r="B30" s="578"/>
      <c r="C30" s="579"/>
      <c r="D30" s="1008"/>
      <c r="E30" s="1009"/>
      <c r="F30" s="4" t="e">
        <f>INDEX(Group!$A$15:$L$27,Walls!G30,Walls!H30)</f>
        <v>#N/A</v>
      </c>
      <c r="G30" s="4" t="e">
        <f>VLOOKUP(Calc!$D$1,Group!$A$4:$B$12,2)</f>
        <v>#N/A</v>
      </c>
      <c r="H30" s="4" t="e">
        <f>VLOOKUP(D30,Group!$C$1:$D$11,2)</f>
        <v>#N/A</v>
      </c>
    </row>
    <row r="32" spans="2:8">
      <c r="B32" s="992" t="s">
        <v>1128</v>
      </c>
      <c r="C32" s="995"/>
      <c r="D32" s="995"/>
      <c r="E32" s="993"/>
      <c r="F32" s="234"/>
    </row>
    <row r="33" spans="2:6">
      <c r="B33" s="442" t="s">
        <v>1095</v>
      </c>
      <c r="C33" s="437"/>
      <c r="D33" s="437"/>
      <c r="E33" s="438"/>
      <c r="F33" s="234"/>
    </row>
    <row r="34" spans="2:6">
      <c r="B34" s="442" t="s">
        <v>1129</v>
      </c>
      <c r="C34" s="437"/>
      <c r="D34" s="437"/>
      <c r="E34" s="438"/>
      <c r="F34" s="234"/>
    </row>
    <row r="35" spans="2:6">
      <c r="B35" s="436" t="s">
        <v>1098</v>
      </c>
      <c r="C35" s="437"/>
      <c r="D35" s="437"/>
      <c r="E35" s="438"/>
      <c r="F35" s="234"/>
    </row>
    <row r="36" spans="2:6">
      <c r="B36" s="436" t="s">
        <v>2623</v>
      </c>
      <c r="C36" s="437"/>
      <c r="D36" s="437"/>
      <c r="E36" s="438"/>
      <c r="F36" s="234"/>
    </row>
    <row r="37" spans="2:6">
      <c r="B37" s="442" t="s">
        <v>1130</v>
      </c>
      <c r="C37" s="460"/>
      <c r="D37" s="444"/>
      <c r="E37" s="445"/>
      <c r="F37" s="234"/>
    </row>
    <row r="38" spans="2:6">
      <c r="B38" s="436" t="s">
        <v>1261</v>
      </c>
      <c r="C38" s="460"/>
      <c r="D38" s="444"/>
      <c r="E38" s="445"/>
      <c r="F38" s="234"/>
    </row>
    <row r="39" spans="2:6">
      <c r="B39" s="436" t="s">
        <v>1260</v>
      </c>
      <c r="C39" s="460"/>
      <c r="D39" s="444"/>
      <c r="E39" s="445"/>
      <c r="F39" s="234"/>
    </row>
    <row r="40" spans="2:6">
      <c r="B40" s="436" t="s">
        <v>2540</v>
      </c>
      <c r="C40" s="460"/>
      <c r="D40" s="444"/>
      <c r="E40" s="445"/>
      <c r="F40" s="234"/>
    </row>
    <row r="41" spans="2:6">
      <c r="B41" s="495" t="s">
        <v>1276</v>
      </c>
      <c r="C41" s="428" t="s">
        <v>1195</v>
      </c>
      <c r="D41" s="428" t="s">
        <v>1211</v>
      </c>
      <c r="E41" s="428" t="s">
        <v>2622</v>
      </c>
      <c r="F41" s="234"/>
    </row>
    <row r="42" spans="2:6">
      <c r="B42" s="558" t="s">
        <v>1277</v>
      </c>
      <c r="C42" s="470">
        <v>9.7000000000000003E-2</v>
      </c>
      <c r="D42" s="448" t="s">
        <v>1220</v>
      </c>
      <c r="E42" s="559" t="s">
        <v>1054</v>
      </c>
      <c r="F42" s="234"/>
    </row>
    <row r="43" spans="2:6">
      <c r="B43" s="558" t="s">
        <v>1278</v>
      </c>
      <c r="C43" s="470">
        <v>7.4999999999999997E-2</v>
      </c>
      <c r="D43" s="448" t="s">
        <v>1221</v>
      </c>
      <c r="E43" s="559" t="s">
        <v>2625</v>
      </c>
      <c r="F43" s="234"/>
    </row>
    <row r="44" spans="2:6">
      <c r="B44" s="558" t="s">
        <v>1279</v>
      </c>
      <c r="C44" s="470">
        <v>0.10299999999999999</v>
      </c>
      <c r="D44" s="448" t="s">
        <v>1220</v>
      </c>
      <c r="E44" s="559" t="s">
        <v>1054</v>
      </c>
      <c r="F44" s="234"/>
    </row>
    <row r="45" spans="2:6">
      <c r="B45" s="442" t="s">
        <v>1131</v>
      </c>
      <c r="C45" s="437"/>
      <c r="D45" s="437"/>
      <c r="E45" s="438"/>
      <c r="F45" s="234"/>
    </row>
    <row r="46" spans="2:6">
      <c r="B46" s="436" t="s">
        <v>1132</v>
      </c>
      <c r="C46" s="437"/>
      <c r="D46" s="437"/>
      <c r="E46" s="438"/>
      <c r="F46" s="234"/>
    </row>
    <row r="47" spans="2:6">
      <c r="B47" s="436" t="s">
        <v>1133</v>
      </c>
      <c r="C47" s="437"/>
      <c r="D47" s="437"/>
      <c r="E47" s="438"/>
      <c r="F47" s="234"/>
    </row>
    <row r="48" spans="2:6">
      <c r="B48" s="436" t="s">
        <v>2624</v>
      </c>
      <c r="C48" s="437"/>
      <c r="D48" s="437"/>
      <c r="E48" s="438"/>
      <c r="F48" s="234"/>
    </row>
    <row r="49" spans="2:6">
      <c r="B49" s="495" t="s">
        <v>1284</v>
      </c>
      <c r="C49" s="428" t="s">
        <v>1195</v>
      </c>
      <c r="D49" s="428" t="s">
        <v>1057</v>
      </c>
      <c r="E49" s="428" t="s">
        <v>1254</v>
      </c>
      <c r="F49" s="234"/>
    </row>
    <row r="50" spans="2:6">
      <c r="B50" s="558" t="s">
        <v>1277</v>
      </c>
      <c r="C50" s="470">
        <v>9.7000000000000003E-2</v>
      </c>
      <c r="D50" s="448">
        <f>70-20</f>
        <v>50</v>
      </c>
      <c r="E50" s="448">
        <v>37</v>
      </c>
      <c r="F50" s="234"/>
    </row>
    <row r="51" spans="2:6">
      <c r="B51" s="433" t="s">
        <v>1134</v>
      </c>
      <c r="C51" s="434"/>
      <c r="D51" s="434"/>
      <c r="E51" s="435"/>
      <c r="F51" s="234"/>
    </row>
    <row r="52" spans="2:6">
      <c r="B52" s="436" t="s">
        <v>1132</v>
      </c>
      <c r="C52" s="437"/>
      <c r="D52" s="437"/>
      <c r="E52" s="438"/>
      <c r="F52" s="234"/>
    </row>
    <row r="53" spans="2:6">
      <c r="B53" s="439" t="s">
        <v>2540</v>
      </c>
      <c r="C53" s="440"/>
      <c r="D53" s="440"/>
      <c r="E53" s="441"/>
      <c r="F53" s="234"/>
    </row>
    <row r="54" spans="2:6">
      <c r="B54" s="504" t="s">
        <v>1283</v>
      </c>
      <c r="C54" s="431" t="s">
        <v>1195</v>
      </c>
      <c r="D54" s="432"/>
      <c r="E54" s="499"/>
      <c r="F54" s="234"/>
    </row>
    <row r="55" spans="2:6">
      <c r="B55" s="558" t="s">
        <v>1280</v>
      </c>
      <c r="C55" s="470">
        <v>4.5999999999999999E-2</v>
      </c>
      <c r="D55" s="432"/>
      <c r="E55" s="499"/>
      <c r="F55" s="234"/>
    </row>
    <row r="56" spans="2:6">
      <c r="B56" s="430"/>
      <c r="C56" s="472"/>
      <c r="D56" s="472"/>
      <c r="E56" s="500"/>
      <c r="F56" s="234"/>
    </row>
    <row r="58" spans="2:6" ht="12.75" customHeight="1">
      <c r="B58" s="990" t="s">
        <v>1106</v>
      </c>
      <c r="C58" s="994"/>
      <c r="D58" s="994"/>
      <c r="E58" s="991"/>
      <c r="F58" s="234"/>
    </row>
    <row r="59" spans="2:6">
      <c r="B59" s="429" t="s">
        <v>1135</v>
      </c>
      <c r="C59" s="444"/>
      <c r="D59" s="444"/>
      <c r="E59" s="445"/>
      <c r="F59" s="234"/>
    </row>
    <row r="60" spans="2:6">
      <c r="B60" s="442" t="s">
        <v>1136</v>
      </c>
      <c r="C60" s="444"/>
      <c r="D60" s="444"/>
      <c r="E60" s="445"/>
      <c r="F60" s="234"/>
    </row>
    <row r="61" spans="2:6">
      <c r="B61" s="442" t="s">
        <v>1137</v>
      </c>
      <c r="C61" s="444"/>
      <c r="D61" s="444"/>
      <c r="E61" s="445"/>
      <c r="F61" s="234"/>
    </row>
    <row r="62" spans="2:6">
      <c r="B62" s="442" t="s">
        <v>1138</v>
      </c>
      <c r="C62" s="444"/>
      <c r="D62" s="444"/>
      <c r="E62" s="445"/>
      <c r="F62" s="234"/>
    </row>
    <row r="63" spans="2:6">
      <c r="B63" s="442" t="s">
        <v>1139</v>
      </c>
      <c r="C63" s="444"/>
      <c r="D63" s="444"/>
      <c r="E63" s="445"/>
      <c r="F63" s="234"/>
    </row>
    <row r="64" spans="2:6">
      <c r="B64" s="429" t="s">
        <v>2460</v>
      </c>
      <c r="C64" s="444"/>
      <c r="D64" s="444"/>
      <c r="E64" s="445"/>
      <c r="F64" s="234"/>
    </row>
    <row r="65" spans="2:6">
      <c r="B65" s="442" t="s">
        <v>1140</v>
      </c>
      <c r="C65" s="444"/>
      <c r="D65" s="444"/>
      <c r="E65" s="445"/>
      <c r="F65" s="234"/>
    </row>
    <row r="66" spans="2:6">
      <c r="B66" s="442" t="s">
        <v>1141</v>
      </c>
      <c r="C66" s="444"/>
      <c r="D66" s="444"/>
      <c r="E66" s="445"/>
      <c r="F66" s="234"/>
    </row>
    <row r="67" spans="2:6">
      <c r="B67" s="442" t="s">
        <v>1142</v>
      </c>
      <c r="C67" s="444"/>
      <c r="D67" s="444"/>
      <c r="E67" s="445"/>
      <c r="F67" s="234"/>
    </row>
    <row r="68" spans="2:6">
      <c r="B68" s="442" t="s">
        <v>2527</v>
      </c>
      <c r="C68" s="444"/>
      <c r="D68" s="444"/>
      <c r="E68" s="445"/>
      <c r="F68" s="234"/>
    </row>
    <row r="69" spans="2:6">
      <c r="B69" s="442" t="s">
        <v>2528</v>
      </c>
      <c r="C69" s="444"/>
      <c r="D69" s="444"/>
      <c r="E69" s="445"/>
      <c r="F69" s="234"/>
    </row>
    <row r="70" spans="2:6">
      <c r="B70" s="560" t="s">
        <v>2529</v>
      </c>
      <c r="C70" s="444"/>
      <c r="D70" s="444"/>
      <c r="E70" s="445"/>
      <c r="F70" s="234"/>
    </row>
    <row r="71" spans="2:6">
      <c r="B71" s="442" t="s">
        <v>2530</v>
      </c>
      <c r="C71" s="444"/>
      <c r="D71" s="444"/>
      <c r="E71" s="445"/>
      <c r="F71" s="234"/>
    </row>
    <row r="72" spans="2:6">
      <c r="B72" s="442" t="s">
        <v>2531</v>
      </c>
      <c r="C72" s="444"/>
      <c r="D72" s="444"/>
      <c r="E72" s="445"/>
      <c r="F72" s="234"/>
    </row>
    <row r="73" spans="2:6">
      <c r="B73" s="442" t="s">
        <v>2532</v>
      </c>
      <c r="C73" s="444"/>
      <c r="D73" s="444"/>
      <c r="E73" s="445"/>
      <c r="F73" s="234"/>
    </row>
    <row r="74" spans="2:6">
      <c r="B74" s="442" t="s">
        <v>2533</v>
      </c>
      <c r="C74" s="444"/>
      <c r="D74" s="444"/>
      <c r="E74" s="445"/>
      <c r="F74" s="234"/>
    </row>
    <row r="75" spans="2:6">
      <c r="B75" s="442" t="s">
        <v>2534</v>
      </c>
      <c r="C75" s="444"/>
      <c r="D75" s="444"/>
      <c r="E75" s="445"/>
      <c r="F75" s="234"/>
    </row>
    <row r="76" spans="2:6" s="476" customFormat="1">
      <c r="B76" s="429" t="s">
        <v>2462</v>
      </c>
      <c r="C76" s="473"/>
      <c r="D76" s="473"/>
      <c r="E76" s="474"/>
      <c r="F76" s="475"/>
    </row>
    <row r="77" spans="2:6">
      <c r="B77" s="442" t="s">
        <v>2535</v>
      </c>
      <c r="C77" s="444"/>
      <c r="D77" s="444"/>
      <c r="E77" s="445"/>
      <c r="F77" s="234"/>
    </row>
    <row r="78" spans="2:6">
      <c r="B78" s="446" t="s">
        <v>2536</v>
      </c>
      <c r="C78" s="477"/>
      <c r="D78" s="477"/>
      <c r="E78" s="459"/>
      <c r="F78" s="234"/>
    </row>
  </sheetData>
  <mergeCells count="10">
    <mergeCell ref="B58:E58"/>
    <mergeCell ref="B32:E32"/>
    <mergeCell ref="E2:E3"/>
    <mergeCell ref="D23:E30"/>
    <mergeCell ref="D15:D16"/>
    <mergeCell ref="C23:C24"/>
    <mergeCell ref="E15:E16"/>
    <mergeCell ref="C2:C3"/>
    <mergeCell ref="D2:D3"/>
    <mergeCell ref="C15:C16"/>
  </mergeCells>
  <phoneticPr fontId="25" type="noConversion"/>
  <dataValidations count="1">
    <dataValidation type="list" showInputMessage="1" showErrorMessage="1" sqref="E42:E44 E5:E14" xr:uid="{00000000-0002-0000-0B00-000000000000}">
      <formula1>"No, Yes"</formula1>
    </dataValidation>
  </dataValidations>
  <printOptions horizontalCentered="1"/>
  <pageMargins left="0.25" right="0.25" top="1" bottom="1" header="0" footer="0"/>
  <pageSetup scale="85" orientation="portrait" blackAndWhite="1" r:id="rId1"/>
  <headerFooter alignWithMargins="0"/>
  <rowBreaks count="1" manualBreakCount="1">
    <brk id="30" min="1" max="4" man="1"/>
  </rowBreaks>
  <customProperties>
    <customPr name="SSCSheetTrackingNo" r:id="rId2"/>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0">
    <tabColor indexed="13"/>
  </sheetPr>
  <dimension ref="B2:G49"/>
  <sheetViews>
    <sheetView showGridLines="0" showRowColHeaders="0" zoomScale="90" zoomScaleNormal="88" workbookViewId="0">
      <selection activeCell="B8" sqref="B8"/>
    </sheetView>
  </sheetViews>
  <sheetFormatPr defaultColWidth="8.88671875" defaultRowHeight="12"/>
  <cols>
    <col min="1" max="1" width="2.77734375" style="4" customWidth="1"/>
    <col min="2" max="2" width="60.77734375" style="4" customWidth="1"/>
    <col min="3" max="3" width="8.88671875" style="455"/>
    <col min="4" max="5" width="8.88671875" style="4"/>
    <col min="6" max="7" width="8.88671875" style="4" hidden="1" customWidth="1"/>
    <col min="8" max="16384" width="8.88671875" style="4"/>
  </cols>
  <sheetData>
    <row r="2" spans="2:7">
      <c r="B2" s="479" t="s">
        <v>1055</v>
      </c>
      <c r="C2" s="988" t="s">
        <v>1195</v>
      </c>
      <c r="D2" s="988" t="s">
        <v>1196</v>
      </c>
      <c r="E2" s="453"/>
    </row>
    <row r="3" spans="2:7">
      <c r="B3" s="421" t="s">
        <v>1056</v>
      </c>
      <c r="C3" s="989"/>
      <c r="D3" s="989"/>
      <c r="E3" s="235"/>
    </row>
    <row r="4" spans="2:7" hidden="1">
      <c r="B4" s="9"/>
      <c r="C4" s="454"/>
      <c r="D4" s="454"/>
      <c r="E4" s="235"/>
    </row>
    <row r="5" spans="2:7">
      <c r="B5" s="578" t="s">
        <v>2795</v>
      </c>
      <c r="C5" s="579">
        <v>2.5999999999999999E-2</v>
      </c>
      <c r="D5" s="583"/>
      <c r="E5" s="235"/>
    </row>
    <row r="6" spans="2:7">
      <c r="B6" s="578"/>
      <c r="C6" s="579"/>
      <c r="D6" s="583"/>
      <c r="E6" s="235"/>
    </row>
    <row r="7" spans="2:7">
      <c r="B7" s="578"/>
      <c r="C7" s="579"/>
      <c r="D7" s="583"/>
      <c r="E7" s="235"/>
    </row>
    <row r="8" spans="2:7">
      <c r="B8" s="578"/>
      <c r="C8" s="579"/>
      <c r="D8" s="583"/>
      <c r="E8" s="235"/>
    </row>
    <row r="9" spans="2:7">
      <c r="B9" s="578"/>
      <c r="C9" s="579"/>
      <c r="D9" s="583"/>
      <c r="E9" s="235"/>
    </row>
    <row r="10" spans="2:7">
      <c r="B10" s="578"/>
      <c r="C10" s="579"/>
      <c r="D10" s="583"/>
      <c r="E10" s="235"/>
    </row>
    <row r="11" spans="2:7">
      <c r="B11" s="495" t="s">
        <v>1299</v>
      </c>
      <c r="C11" s="428" t="s">
        <v>1195</v>
      </c>
      <c r="D11" s="428" t="s">
        <v>1057</v>
      </c>
      <c r="E11" s="428" t="s">
        <v>1058</v>
      </c>
    </row>
    <row r="12" spans="2:7" hidden="1">
      <c r="B12" s="495"/>
      <c r="C12" s="428"/>
      <c r="D12" s="428"/>
      <c r="E12" s="428"/>
    </row>
    <row r="13" spans="2:7">
      <c r="B13" s="578"/>
      <c r="C13" s="579"/>
      <c r="D13" s="583"/>
      <c r="E13" s="583"/>
      <c r="F13" s="4">
        <f>C13*D13</f>
        <v>0</v>
      </c>
      <c r="G13" s="4">
        <f>C13*E13</f>
        <v>0</v>
      </c>
    </row>
    <row r="14" spans="2:7">
      <c r="B14" s="578"/>
      <c r="C14" s="579"/>
      <c r="D14" s="583"/>
      <c r="E14" s="583"/>
      <c r="F14" s="4">
        <f>C14*D14</f>
        <v>0</v>
      </c>
      <c r="G14" s="4">
        <f>C14*E14</f>
        <v>0</v>
      </c>
    </row>
    <row r="15" spans="2:7">
      <c r="B15" s="578"/>
      <c r="C15" s="579"/>
      <c r="D15" s="583"/>
      <c r="E15" s="583"/>
      <c r="F15" s="4">
        <f>C15*D15</f>
        <v>0</v>
      </c>
      <c r="G15" s="4">
        <f>C15*E15</f>
        <v>0</v>
      </c>
    </row>
    <row r="17" spans="2:5">
      <c r="B17" s="992" t="s">
        <v>2537</v>
      </c>
      <c r="C17" s="995"/>
      <c r="D17" s="995"/>
      <c r="E17" s="993"/>
    </row>
    <row r="18" spans="2:5">
      <c r="B18" s="442" t="s">
        <v>1095</v>
      </c>
      <c r="C18" s="437"/>
      <c r="D18" s="437"/>
      <c r="E18" s="438"/>
    </row>
    <row r="19" spans="2:5">
      <c r="B19" s="442" t="s">
        <v>2538</v>
      </c>
      <c r="C19" s="437"/>
      <c r="D19" s="437"/>
      <c r="E19" s="438"/>
    </row>
    <row r="20" spans="2:5">
      <c r="B20" s="436" t="s">
        <v>1098</v>
      </c>
      <c r="C20" s="437"/>
      <c r="D20" s="437"/>
      <c r="E20" s="438"/>
    </row>
    <row r="21" spans="2:5" ht="12" customHeight="1">
      <c r="B21" s="1013" t="s">
        <v>2626</v>
      </c>
      <c r="C21" s="1014"/>
      <c r="D21" s="1014"/>
      <c r="E21" s="1015"/>
    </row>
    <row r="22" spans="2:5">
      <c r="B22" s="442" t="s">
        <v>2516</v>
      </c>
      <c r="C22" s="460"/>
      <c r="D22" s="444"/>
      <c r="E22" s="445"/>
    </row>
    <row r="23" spans="2:5">
      <c r="B23" s="436" t="s">
        <v>2539</v>
      </c>
      <c r="C23" s="460"/>
      <c r="D23" s="444"/>
      <c r="E23" s="445"/>
    </row>
    <row r="24" spans="2:5">
      <c r="B24" s="436" t="s">
        <v>2540</v>
      </c>
      <c r="C24" s="460"/>
      <c r="D24" s="444"/>
      <c r="E24" s="445"/>
    </row>
    <row r="25" spans="2:5">
      <c r="B25" s="495" t="s">
        <v>1056</v>
      </c>
      <c r="C25" s="428" t="s">
        <v>1195</v>
      </c>
      <c r="D25" s="443" t="s">
        <v>1196</v>
      </c>
      <c r="E25" s="463"/>
    </row>
    <row r="26" spans="2:5">
      <c r="B26" s="558" t="s">
        <v>2361</v>
      </c>
      <c r="C26" s="470">
        <v>4.9000000000000002E-2</v>
      </c>
      <c r="D26" s="448">
        <v>55</v>
      </c>
      <c r="E26" s="463"/>
    </row>
    <row r="27" spans="2:5">
      <c r="B27" s="442" t="s">
        <v>2541</v>
      </c>
      <c r="C27" s="437"/>
      <c r="D27" s="437"/>
      <c r="E27" s="438"/>
    </row>
    <row r="28" spans="2:5">
      <c r="B28" s="436" t="s">
        <v>2542</v>
      </c>
      <c r="C28" s="437"/>
      <c r="D28" s="437"/>
      <c r="E28" s="438"/>
    </row>
    <row r="29" spans="2:5" ht="24" customHeight="1">
      <c r="B29" s="1013" t="s">
        <v>2711</v>
      </c>
      <c r="C29" s="1014"/>
      <c r="D29" s="1014"/>
      <c r="E29" s="1015"/>
    </row>
    <row r="30" spans="2:5" ht="12" customHeight="1">
      <c r="B30" s="1016" t="s">
        <v>2733</v>
      </c>
      <c r="C30" s="1017"/>
      <c r="D30" s="1017"/>
      <c r="E30" s="1018"/>
    </row>
    <row r="31" spans="2:5">
      <c r="B31" s="495" t="s">
        <v>1275</v>
      </c>
      <c r="C31" s="428" t="s">
        <v>1195</v>
      </c>
      <c r="D31" s="428" t="s">
        <v>1057</v>
      </c>
      <c r="E31" s="428" t="s">
        <v>1058</v>
      </c>
    </row>
    <row r="32" spans="2:5">
      <c r="B32" s="558" t="s">
        <v>1285</v>
      </c>
      <c r="C32" s="470">
        <v>9.7000000000000003E-2</v>
      </c>
      <c r="D32" s="448">
        <f>70-66</f>
        <v>4</v>
      </c>
      <c r="E32" s="448">
        <f>78-75</f>
        <v>3</v>
      </c>
    </row>
    <row r="33" spans="2:5">
      <c r="B33" s="430"/>
      <c r="C33" s="464"/>
      <c r="D33" s="465"/>
      <c r="E33" s="457"/>
    </row>
    <row r="35" spans="2:5" ht="12.75">
      <c r="B35" s="990" t="s">
        <v>1106</v>
      </c>
      <c r="C35" s="1011"/>
      <c r="D35" s="1011"/>
      <c r="E35" s="1012"/>
    </row>
    <row r="36" spans="2:5">
      <c r="B36" s="429" t="s">
        <v>2543</v>
      </c>
      <c r="C36" s="444"/>
      <c r="D36" s="444"/>
      <c r="E36" s="445"/>
    </row>
    <row r="37" spans="2:5">
      <c r="B37" s="442" t="s">
        <v>2544</v>
      </c>
      <c r="C37" s="444"/>
      <c r="D37" s="444"/>
      <c r="E37" s="445"/>
    </row>
    <row r="38" spans="2:5">
      <c r="B38" s="442" t="s">
        <v>2545</v>
      </c>
      <c r="C38" s="444"/>
      <c r="D38" s="444"/>
      <c r="E38" s="445"/>
    </row>
    <row r="39" spans="2:5">
      <c r="B39" s="442" t="s">
        <v>2546</v>
      </c>
      <c r="C39" s="444"/>
      <c r="D39" s="444"/>
      <c r="E39" s="445"/>
    </row>
    <row r="40" spans="2:5">
      <c r="B40" s="429" t="s">
        <v>2547</v>
      </c>
      <c r="C40" s="444"/>
      <c r="D40" s="444"/>
      <c r="E40" s="445"/>
    </row>
    <row r="41" spans="2:5">
      <c r="B41" s="442" t="s">
        <v>2548</v>
      </c>
      <c r="C41" s="444"/>
      <c r="D41" s="444"/>
      <c r="E41" s="445"/>
    </row>
    <row r="42" spans="2:5">
      <c r="B42" s="442" t="s">
        <v>2549</v>
      </c>
      <c r="C42" s="444"/>
      <c r="D42" s="444"/>
      <c r="E42" s="445"/>
    </row>
    <row r="43" spans="2:5">
      <c r="B43" s="442" t="s">
        <v>2550</v>
      </c>
      <c r="C43" s="444"/>
      <c r="D43" s="444"/>
      <c r="E43" s="445"/>
    </row>
    <row r="44" spans="2:5">
      <c r="B44" s="442" t="s">
        <v>2533</v>
      </c>
      <c r="C44" s="444"/>
      <c r="D44" s="444"/>
      <c r="E44" s="445"/>
    </row>
    <row r="45" spans="2:5">
      <c r="B45" s="429" t="s">
        <v>2551</v>
      </c>
      <c r="C45" s="444"/>
      <c r="D45" s="444"/>
      <c r="E45" s="445"/>
    </row>
    <row r="46" spans="2:5">
      <c r="B46" s="442" t="s">
        <v>2552</v>
      </c>
      <c r="C46" s="444"/>
      <c r="D46" s="444"/>
      <c r="E46" s="445"/>
    </row>
    <row r="47" spans="2:5">
      <c r="B47" s="442" t="s">
        <v>2553</v>
      </c>
      <c r="C47" s="444"/>
      <c r="D47" s="444"/>
      <c r="E47" s="445"/>
    </row>
    <row r="48" spans="2:5">
      <c r="B48" s="442" t="s">
        <v>2627</v>
      </c>
      <c r="C48" s="444"/>
      <c r="D48" s="444"/>
      <c r="E48" s="445"/>
    </row>
    <row r="49" spans="2:5">
      <c r="B49" s="446" t="s">
        <v>2628</v>
      </c>
      <c r="C49" s="477"/>
      <c r="D49" s="477"/>
      <c r="E49" s="459"/>
    </row>
  </sheetData>
  <mergeCells count="7">
    <mergeCell ref="B35:E35"/>
    <mergeCell ref="B21:E21"/>
    <mergeCell ref="B30:E30"/>
    <mergeCell ref="D2:D3"/>
    <mergeCell ref="C2:C3"/>
    <mergeCell ref="B17:E17"/>
    <mergeCell ref="B29:E29"/>
  </mergeCells>
  <phoneticPr fontId="25" type="noConversion"/>
  <printOptions horizontalCentered="1"/>
  <pageMargins left="0.25" right="0.25" top="1" bottom="1" header="0" footer="0"/>
  <pageSetup scale="85" orientation="portrait" blackAndWhite="1" r:id="rId1"/>
  <headerFooter alignWithMargins="0"/>
  <rowBreaks count="1" manualBreakCount="1">
    <brk id="15" min="1" max="4" man="1"/>
  </rowBreaks>
  <customProperties>
    <customPr name="SSCSheetTrackingNo" r:id="rId2"/>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
    <tabColor indexed="34"/>
  </sheetPr>
  <dimension ref="B2:H85"/>
  <sheetViews>
    <sheetView showGridLines="0" showRowColHeaders="0" topLeftCell="A3" zoomScale="90" zoomScaleNormal="88" workbookViewId="0">
      <selection activeCell="B20" sqref="B20"/>
    </sheetView>
  </sheetViews>
  <sheetFormatPr defaultColWidth="8.88671875" defaultRowHeight="12"/>
  <cols>
    <col min="1" max="1" width="2.77734375" style="4" customWidth="1"/>
    <col min="2" max="2" width="64.6640625" style="4" customWidth="1"/>
    <col min="3" max="3" width="8.88671875" style="455"/>
    <col min="4" max="4" width="8.88671875" style="484"/>
    <col min="5" max="5" width="8.88671875" style="8"/>
    <col min="6" max="8" width="8.88671875" style="4" hidden="1" customWidth="1"/>
    <col min="9" max="16384" width="8.88671875" style="4"/>
  </cols>
  <sheetData>
    <row r="2" spans="2:8">
      <c r="B2" s="452" t="s">
        <v>2710</v>
      </c>
      <c r="C2" s="988" t="s">
        <v>1195</v>
      </c>
      <c r="D2" s="988" t="s">
        <v>1057</v>
      </c>
      <c r="E2" s="988" t="s">
        <v>1058</v>
      </c>
    </row>
    <row r="3" spans="2:8">
      <c r="B3" s="420" t="s">
        <v>1262</v>
      </c>
      <c r="C3" s="989"/>
      <c r="D3" s="989" t="s">
        <v>1057</v>
      </c>
      <c r="E3" s="989" t="s">
        <v>1058</v>
      </c>
    </row>
    <row r="4" spans="2:8" hidden="1">
      <c r="B4" s="9"/>
      <c r="C4" s="454"/>
      <c r="D4" s="480"/>
      <c r="E4" s="480"/>
    </row>
    <row r="5" spans="2:8">
      <c r="B5" s="578"/>
      <c r="C5" s="579"/>
      <c r="D5" s="580"/>
      <c r="E5" s="580"/>
      <c r="F5" s="4">
        <f>C5*D5</f>
        <v>0</v>
      </c>
      <c r="G5" s="4">
        <f>C5*E5</f>
        <v>0</v>
      </c>
    </row>
    <row r="6" spans="2:8">
      <c r="B6" s="578"/>
      <c r="C6" s="579"/>
      <c r="D6" s="580"/>
      <c r="E6" s="580"/>
      <c r="F6" s="4">
        <f>C6*D6</f>
        <v>0</v>
      </c>
      <c r="G6" s="4">
        <f>C6*E6</f>
        <v>0</v>
      </c>
    </row>
    <row r="7" spans="2:8">
      <c r="B7" s="578"/>
      <c r="C7" s="579"/>
      <c r="D7" s="580"/>
      <c r="E7" s="580"/>
      <c r="F7" s="4">
        <f>C7*D7</f>
        <v>0</v>
      </c>
      <c r="G7" s="4">
        <f>C7*E7</f>
        <v>0</v>
      </c>
    </row>
    <row r="8" spans="2:8">
      <c r="B8" s="420" t="s">
        <v>1263</v>
      </c>
      <c r="C8" s="553" t="s">
        <v>1195</v>
      </c>
      <c r="D8" s="554"/>
      <c r="E8" s="555"/>
    </row>
    <row r="9" spans="2:8" hidden="1">
      <c r="B9" s="420"/>
      <c r="C9" s="553"/>
      <c r="D9" s="556"/>
      <c r="E9" s="557"/>
    </row>
    <row r="10" spans="2:8">
      <c r="B10" s="578"/>
      <c r="C10" s="581"/>
      <c r="D10" s="556"/>
      <c r="E10" s="557"/>
      <c r="F10" s="4">
        <f>C10*'J1 Form'!$K$4</f>
        <v>0</v>
      </c>
      <c r="G10" s="4">
        <f>C10*H10</f>
        <v>0</v>
      </c>
      <c r="H10" s="4">
        <f>VLOOKUP(Calc!$D$1,Calc!$C$6:$E$17,3)</f>
        <v>5</v>
      </c>
    </row>
    <row r="11" spans="2:8">
      <c r="B11" s="578"/>
      <c r="C11" s="581"/>
      <c r="D11" s="556"/>
      <c r="E11" s="557"/>
      <c r="F11" s="4">
        <f>C11*'J1 Form'!$K$4</f>
        <v>0</v>
      </c>
      <c r="G11" s="4">
        <f>C11*H11</f>
        <v>0</v>
      </c>
      <c r="H11" s="4">
        <f>VLOOKUP(Calc!$D$1,Calc!$C$6:$E$17,3)</f>
        <v>5</v>
      </c>
    </row>
    <row r="12" spans="2:8">
      <c r="B12" s="578"/>
      <c r="C12" s="581"/>
      <c r="D12" s="556"/>
      <c r="E12" s="557"/>
      <c r="F12" s="4">
        <f>C12*'J1 Form'!$K$4</f>
        <v>0</v>
      </c>
      <c r="G12" s="4">
        <f>C12*H12</f>
        <v>0</v>
      </c>
      <c r="H12" s="4">
        <f>VLOOKUP(Calc!$D$1,Calc!$C$6:$E$17,3)</f>
        <v>5</v>
      </c>
    </row>
    <row r="13" spans="2:8">
      <c r="B13" s="420" t="s">
        <v>2291</v>
      </c>
      <c r="C13" s="428" t="s">
        <v>1195</v>
      </c>
      <c r="D13" s="481" t="s">
        <v>1057</v>
      </c>
      <c r="E13" s="481" t="s">
        <v>1058</v>
      </c>
    </row>
    <row r="14" spans="2:8" hidden="1">
      <c r="B14" s="9"/>
      <c r="C14" s="454"/>
      <c r="D14" s="480"/>
      <c r="E14" s="480"/>
    </row>
    <row r="15" spans="2:8">
      <c r="B15" s="578"/>
      <c r="C15" s="581"/>
      <c r="D15" s="580"/>
      <c r="E15" s="580"/>
      <c r="F15" s="4">
        <f>C15*D15</f>
        <v>0</v>
      </c>
      <c r="G15" s="4">
        <f>C15*E15</f>
        <v>0</v>
      </c>
    </row>
    <row r="16" spans="2:8">
      <c r="B16" s="578"/>
      <c r="C16" s="579"/>
      <c r="D16" s="580"/>
      <c r="E16" s="580"/>
      <c r="F16" s="4">
        <f>C16*D16</f>
        <v>0</v>
      </c>
      <c r="G16" s="4">
        <f>C16*E16</f>
        <v>0</v>
      </c>
    </row>
    <row r="17" spans="2:7">
      <c r="B17" s="578"/>
      <c r="C17" s="579"/>
      <c r="D17" s="580"/>
      <c r="E17" s="580"/>
      <c r="F17" s="4">
        <f>C17*D17</f>
        <v>0</v>
      </c>
      <c r="G17" s="4">
        <f>C17*E17</f>
        <v>0</v>
      </c>
    </row>
    <row r="18" spans="2:7">
      <c r="B18" s="421" t="s">
        <v>1331</v>
      </c>
      <c r="C18" s="428" t="s">
        <v>1195</v>
      </c>
      <c r="D18" s="556"/>
      <c r="E18" s="235"/>
    </row>
    <row r="19" spans="2:7" hidden="1">
      <c r="B19" s="421"/>
      <c r="C19" s="428"/>
      <c r="D19" s="556"/>
      <c r="E19" s="235"/>
    </row>
    <row r="20" spans="2:7">
      <c r="B20" s="578" t="s">
        <v>2800</v>
      </c>
      <c r="C20" s="579">
        <v>0.02</v>
      </c>
      <c r="D20" s="556"/>
      <c r="E20" s="235"/>
      <c r="F20" s="4">
        <f>C21*'J1 Form'!$K$4</f>
        <v>0</v>
      </c>
    </row>
    <row r="21" spans="2:7">
      <c r="B21" s="578"/>
      <c r="C21" s="579"/>
      <c r="D21" s="556"/>
      <c r="E21" s="235"/>
      <c r="F21" s="4">
        <f>C22*'J1 Form'!$K$4</f>
        <v>0</v>
      </c>
    </row>
    <row r="22" spans="2:7">
      <c r="B22" s="578"/>
      <c r="C22" s="579"/>
      <c r="D22" s="556"/>
      <c r="E22" s="235"/>
      <c r="F22" s="4">
        <f>C25*'J1 Form'!$K$4</f>
        <v>0</v>
      </c>
    </row>
    <row r="23" spans="2:7">
      <c r="B23" s="421" t="s">
        <v>1330</v>
      </c>
      <c r="C23" s="428" t="s">
        <v>1266</v>
      </c>
      <c r="D23" s="556"/>
      <c r="E23" s="235"/>
    </row>
    <row r="24" spans="2:7" ht="10.5" hidden="1" customHeight="1">
      <c r="B24" s="578"/>
      <c r="C24" s="579"/>
      <c r="D24" s="556"/>
      <c r="E24" s="235"/>
    </row>
    <row r="25" spans="2:7">
      <c r="B25" s="578"/>
      <c r="C25" s="579"/>
      <c r="D25" s="556"/>
      <c r="E25" s="235"/>
    </row>
    <row r="26" spans="2:7">
      <c r="B26" s="578"/>
      <c r="C26" s="579"/>
      <c r="D26" s="4"/>
      <c r="E26" s="235"/>
    </row>
    <row r="27" spans="2:7">
      <c r="B27" s="578"/>
      <c r="C27" s="579"/>
      <c r="D27" s="236"/>
      <c r="E27" s="237"/>
    </row>
    <row r="29" spans="2:7">
      <c r="B29" s="992" t="s">
        <v>2554</v>
      </c>
      <c r="C29" s="995"/>
      <c r="D29" s="995"/>
      <c r="E29" s="993"/>
      <c r="F29" s="234"/>
    </row>
    <row r="30" spans="2:7">
      <c r="B30" s="442" t="s">
        <v>1095</v>
      </c>
      <c r="C30" s="437"/>
      <c r="D30" s="437"/>
      <c r="E30" s="438"/>
      <c r="F30" s="234"/>
    </row>
    <row r="31" spans="2:7">
      <c r="B31" s="442" t="s">
        <v>2555</v>
      </c>
      <c r="C31" s="437"/>
      <c r="D31" s="437"/>
      <c r="E31" s="438"/>
      <c r="F31" s="234"/>
    </row>
    <row r="32" spans="2:7" ht="12" customHeight="1">
      <c r="B32" s="436" t="s">
        <v>1098</v>
      </c>
      <c r="C32" s="437"/>
      <c r="D32" s="437"/>
      <c r="E32" s="438"/>
      <c r="F32" s="234"/>
    </row>
    <row r="33" spans="2:6" ht="12" customHeight="1">
      <c r="B33" s="1013" t="s">
        <v>2629</v>
      </c>
      <c r="C33" s="1014"/>
      <c r="D33" s="1014"/>
      <c r="E33" s="1015"/>
      <c r="F33" s="234"/>
    </row>
    <row r="34" spans="2:6">
      <c r="B34" s="442" t="s">
        <v>2556</v>
      </c>
      <c r="C34" s="460"/>
      <c r="D34" s="444"/>
      <c r="E34" s="445"/>
      <c r="F34" s="234"/>
    </row>
    <row r="35" spans="2:6">
      <c r="B35" s="436" t="s">
        <v>2557</v>
      </c>
      <c r="C35" s="460"/>
      <c r="D35" s="444"/>
      <c r="E35" s="445"/>
      <c r="F35" s="234"/>
    </row>
    <row r="36" spans="2:6">
      <c r="B36" s="436" t="s">
        <v>2558</v>
      </c>
      <c r="C36" s="460"/>
      <c r="D36" s="444"/>
      <c r="E36" s="445"/>
      <c r="F36" s="234"/>
    </row>
    <row r="37" spans="2:6">
      <c r="B37" s="495" t="s">
        <v>1271</v>
      </c>
      <c r="C37" s="428" t="s">
        <v>1195</v>
      </c>
      <c r="D37" s="443" t="s">
        <v>1057</v>
      </c>
      <c r="E37" s="443" t="s">
        <v>1058</v>
      </c>
      <c r="F37" s="234"/>
    </row>
    <row r="38" spans="2:6">
      <c r="B38" s="558" t="s">
        <v>1286</v>
      </c>
      <c r="C38" s="470">
        <v>7.2999999999999995E-2</v>
      </c>
      <c r="D38" s="447">
        <v>49.5</v>
      </c>
      <c r="E38" s="447">
        <v>14.1</v>
      </c>
      <c r="F38" s="234"/>
    </row>
    <row r="39" spans="2:6">
      <c r="B39" s="442" t="s">
        <v>1268</v>
      </c>
      <c r="C39" s="460"/>
      <c r="D39" s="444"/>
      <c r="E39" s="445"/>
      <c r="F39" s="234"/>
    </row>
    <row r="40" spans="2:6">
      <c r="B40" s="436" t="s">
        <v>2561</v>
      </c>
      <c r="C40" s="460"/>
      <c r="D40" s="444"/>
      <c r="E40" s="445"/>
      <c r="F40" s="234"/>
    </row>
    <row r="41" spans="2:6">
      <c r="B41" s="436" t="s">
        <v>2540</v>
      </c>
      <c r="C41" s="460"/>
      <c r="D41" s="444"/>
      <c r="E41" s="445"/>
      <c r="F41" s="234"/>
    </row>
    <row r="42" spans="2:6">
      <c r="B42" s="495" t="s">
        <v>1271</v>
      </c>
      <c r="C42" s="428" t="s">
        <v>1195</v>
      </c>
      <c r="D42" s="444"/>
      <c r="E42" s="687"/>
      <c r="F42" s="234"/>
    </row>
    <row r="43" spans="2:6">
      <c r="B43" s="558" t="s">
        <v>1287</v>
      </c>
      <c r="C43" s="470">
        <v>3.5000000000000003E-2</v>
      </c>
      <c r="D43" s="444"/>
      <c r="E43" s="687"/>
      <c r="F43" s="234"/>
    </row>
    <row r="44" spans="2:6">
      <c r="B44" s="442" t="s">
        <v>1269</v>
      </c>
      <c r="C44" s="460"/>
      <c r="D44" s="444"/>
      <c r="E44" s="445"/>
      <c r="F44" s="234"/>
    </row>
    <row r="45" spans="2:6">
      <c r="B45" s="436" t="s">
        <v>2559</v>
      </c>
      <c r="C45" s="460"/>
      <c r="D45" s="444"/>
      <c r="E45" s="445"/>
      <c r="F45" s="234"/>
    </row>
    <row r="46" spans="2:6" ht="12" customHeight="1">
      <c r="B46" s="436" t="s">
        <v>2560</v>
      </c>
      <c r="C46" s="460"/>
      <c r="D46" s="444"/>
      <c r="E46" s="445"/>
      <c r="F46" s="234"/>
    </row>
    <row r="47" spans="2:6" ht="24" customHeight="1">
      <c r="B47" s="1016" t="s">
        <v>2712</v>
      </c>
      <c r="C47" s="1017"/>
      <c r="D47" s="1017"/>
      <c r="E47" s="1018"/>
      <c r="F47" s="234"/>
    </row>
    <row r="48" spans="2:6">
      <c r="B48" s="495" t="s">
        <v>1272</v>
      </c>
      <c r="C48" s="428" t="s">
        <v>1195</v>
      </c>
      <c r="D48" s="443" t="s">
        <v>1057</v>
      </c>
      <c r="E48" s="443" t="s">
        <v>1058</v>
      </c>
      <c r="F48" s="234"/>
    </row>
    <row r="49" spans="2:6">
      <c r="B49" s="558" t="s">
        <v>1288</v>
      </c>
      <c r="C49" s="470">
        <v>7.2999999999999995E-2</v>
      </c>
      <c r="D49" s="448">
        <f>70-10+5</f>
        <v>65</v>
      </c>
      <c r="E49" s="448">
        <f>95-75+6</f>
        <v>26</v>
      </c>
      <c r="F49" s="234"/>
    </row>
    <row r="50" spans="2:6">
      <c r="B50" s="442" t="s">
        <v>2562</v>
      </c>
      <c r="C50" s="460"/>
      <c r="D50" s="444"/>
      <c r="E50" s="445"/>
      <c r="F50" s="234"/>
    </row>
    <row r="51" spans="2:6">
      <c r="B51" s="436" t="s">
        <v>2563</v>
      </c>
      <c r="C51" s="460"/>
      <c r="D51" s="444"/>
      <c r="E51" s="445"/>
      <c r="F51" s="234"/>
    </row>
    <row r="52" spans="2:6">
      <c r="B52" s="436" t="s">
        <v>2540</v>
      </c>
      <c r="C52" s="460"/>
      <c r="D52" s="444"/>
      <c r="E52" s="445"/>
      <c r="F52" s="234"/>
    </row>
    <row r="53" spans="2:6">
      <c r="B53" s="495" t="s">
        <v>1273</v>
      </c>
      <c r="C53" s="428" t="s">
        <v>1195</v>
      </c>
      <c r="D53" s="444"/>
      <c r="E53" s="687"/>
      <c r="F53" s="234"/>
    </row>
    <row r="54" spans="2:6">
      <c r="B54" s="558" t="s">
        <v>1289</v>
      </c>
      <c r="C54" s="470">
        <v>0.02</v>
      </c>
      <c r="D54" s="444"/>
      <c r="E54" s="687"/>
      <c r="F54" s="234"/>
    </row>
    <row r="55" spans="2:6">
      <c r="B55" s="442" t="s">
        <v>2564</v>
      </c>
      <c r="C55" s="460"/>
      <c r="D55" s="444"/>
      <c r="E55" s="445"/>
      <c r="F55" s="234"/>
    </row>
    <row r="56" spans="2:6">
      <c r="B56" s="436" t="s">
        <v>2565</v>
      </c>
      <c r="C56" s="460"/>
      <c r="D56" s="444"/>
      <c r="E56" s="445"/>
      <c r="F56" s="234"/>
    </row>
    <row r="57" spans="2:6">
      <c r="B57" s="436" t="s">
        <v>2540</v>
      </c>
      <c r="C57" s="460"/>
      <c r="D57" s="444"/>
      <c r="E57" s="445"/>
      <c r="F57" s="234"/>
    </row>
    <row r="58" spans="2:6">
      <c r="B58" s="495" t="s">
        <v>1274</v>
      </c>
      <c r="C58" s="428" t="s">
        <v>1266</v>
      </c>
      <c r="D58" s="482"/>
      <c r="E58" s="463"/>
      <c r="F58" s="234"/>
    </row>
    <row r="59" spans="2:6">
      <c r="B59" s="558" t="s">
        <v>1290</v>
      </c>
      <c r="C59" s="470">
        <v>0.48099999999999998</v>
      </c>
      <c r="D59" s="482"/>
      <c r="E59" s="463"/>
      <c r="F59" s="234"/>
    </row>
    <row r="60" spans="2:6">
      <c r="B60" s="430"/>
      <c r="C60" s="464"/>
      <c r="D60" s="483"/>
      <c r="E60" s="688"/>
      <c r="F60" s="234"/>
    </row>
    <row r="61" spans="2:6">
      <c r="B61" s="689"/>
    </row>
    <row r="62" spans="2:6" ht="12.75" customHeight="1">
      <c r="B62" s="990" t="s">
        <v>1106</v>
      </c>
      <c r="C62" s="994"/>
      <c r="D62" s="994"/>
      <c r="E62" s="991"/>
    </row>
    <row r="63" spans="2:6">
      <c r="B63" s="429" t="s">
        <v>2599</v>
      </c>
      <c r="C63" s="444"/>
      <c r="D63" s="444"/>
      <c r="E63" s="445"/>
    </row>
    <row r="64" spans="2:6">
      <c r="B64" s="442" t="s">
        <v>2600</v>
      </c>
      <c r="C64" s="444"/>
      <c r="D64" s="444"/>
      <c r="E64" s="445"/>
    </row>
    <row r="65" spans="2:5">
      <c r="B65" s="442" t="s">
        <v>2601</v>
      </c>
      <c r="C65" s="444"/>
      <c r="D65" s="444"/>
      <c r="E65" s="445"/>
    </row>
    <row r="66" spans="2:5">
      <c r="B66" s="442" t="s">
        <v>2602</v>
      </c>
      <c r="C66" s="444"/>
      <c r="D66" s="444"/>
      <c r="E66" s="445"/>
    </row>
    <row r="67" spans="2:5">
      <c r="B67" s="442" t="s">
        <v>2603</v>
      </c>
      <c r="C67" s="444"/>
      <c r="D67" s="444"/>
      <c r="E67" s="445"/>
    </row>
    <row r="68" spans="2:5">
      <c r="B68" s="429" t="s">
        <v>2604</v>
      </c>
      <c r="C68" s="444"/>
      <c r="D68" s="444"/>
      <c r="E68" s="445"/>
    </row>
    <row r="69" spans="2:5">
      <c r="B69" s="442" t="s">
        <v>2605</v>
      </c>
      <c r="C69" s="444"/>
      <c r="D69" s="444"/>
      <c r="E69" s="445"/>
    </row>
    <row r="70" spans="2:5">
      <c r="B70" s="442" t="s">
        <v>2606</v>
      </c>
      <c r="C70" s="444"/>
      <c r="D70" s="444"/>
      <c r="E70" s="445"/>
    </row>
    <row r="71" spans="2:5">
      <c r="B71" s="442" t="s">
        <v>2607</v>
      </c>
      <c r="C71" s="444"/>
      <c r="D71" s="444"/>
      <c r="E71" s="445"/>
    </row>
    <row r="72" spans="2:5">
      <c r="B72" s="442" t="s">
        <v>2533</v>
      </c>
      <c r="C72" s="444"/>
      <c r="D72" s="444"/>
      <c r="E72" s="445"/>
    </row>
    <row r="73" spans="2:5">
      <c r="B73" s="442" t="s">
        <v>2603</v>
      </c>
      <c r="C73" s="444"/>
      <c r="D73" s="444"/>
      <c r="E73" s="445"/>
    </row>
    <row r="74" spans="2:5">
      <c r="B74" s="429" t="s">
        <v>2608</v>
      </c>
      <c r="C74" s="444"/>
      <c r="D74" s="444"/>
      <c r="E74" s="445"/>
    </row>
    <row r="75" spans="2:5">
      <c r="B75" s="442" t="s">
        <v>2609</v>
      </c>
      <c r="C75" s="444"/>
      <c r="D75" s="444"/>
      <c r="E75" s="445"/>
    </row>
    <row r="76" spans="2:5">
      <c r="B76" s="442" t="s">
        <v>2610</v>
      </c>
      <c r="C76" s="444"/>
      <c r="D76" s="444"/>
      <c r="E76" s="445"/>
    </row>
    <row r="77" spans="2:5">
      <c r="B77" s="442" t="s">
        <v>2603</v>
      </c>
      <c r="C77" s="444"/>
      <c r="D77" s="444"/>
      <c r="E77" s="445"/>
    </row>
    <row r="78" spans="2:5">
      <c r="B78" s="429" t="s">
        <v>2611</v>
      </c>
      <c r="C78" s="444"/>
      <c r="D78" s="444"/>
      <c r="E78" s="445"/>
    </row>
    <row r="79" spans="2:5">
      <c r="B79" s="442" t="s">
        <v>2612</v>
      </c>
      <c r="C79" s="444"/>
      <c r="D79" s="444"/>
      <c r="E79" s="445"/>
    </row>
    <row r="80" spans="2:5">
      <c r="B80" s="442" t="s">
        <v>2603</v>
      </c>
      <c r="C80" s="444"/>
      <c r="D80" s="444"/>
      <c r="E80" s="445"/>
    </row>
    <row r="81" spans="2:5">
      <c r="B81" s="429" t="s">
        <v>2613</v>
      </c>
      <c r="C81" s="444"/>
      <c r="D81" s="444"/>
      <c r="E81" s="445"/>
    </row>
    <row r="82" spans="2:5">
      <c r="B82" s="442" t="s">
        <v>2617</v>
      </c>
      <c r="C82" s="444"/>
      <c r="D82" s="444"/>
      <c r="E82" s="445"/>
    </row>
    <row r="83" spans="2:5">
      <c r="B83" s="442" t="s">
        <v>2617</v>
      </c>
      <c r="C83" s="444"/>
      <c r="D83" s="444"/>
      <c r="E83" s="445"/>
    </row>
    <row r="84" spans="2:5">
      <c r="B84" s="442" t="s">
        <v>2618</v>
      </c>
      <c r="C84" s="444"/>
      <c r="D84" s="444"/>
      <c r="E84" s="445"/>
    </row>
    <row r="85" spans="2:5">
      <c r="B85" s="446" t="s">
        <v>2603</v>
      </c>
      <c r="C85" s="477"/>
      <c r="D85" s="477"/>
      <c r="E85" s="459"/>
    </row>
  </sheetData>
  <mergeCells count="7">
    <mergeCell ref="B47:E47"/>
    <mergeCell ref="B29:E29"/>
    <mergeCell ref="B62:E62"/>
    <mergeCell ref="C2:C3"/>
    <mergeCell ref="D2:D3"/>
    <mergeCell ref="E2:E3"/>
    <mergeCell ref="B33:E33"/>
  </mergeCells>
  <phoneticPr fontId="25" type="noConversion"/>
  <printOptions horizontalCentered="1"/>
  <pageMargins left="0.25" right="0.25" top="1" bottom="1" header="0" footer="0"/>
  <pageSetup scale="85" orientation="portrait" blackAndWhite="1" r:id="rId1"/>
  <headerFooter alignWithMargins="0"/>
  <rowBreaks count="1" manualBreakCount="1">
    <brk id="27" min="1" max="6" man="1"/>
  </rowBreaks>
  <customProperties>
    <customPr name="SSCSheetTrackingNo" r:id="rId2"/>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2">
    <tabColor indexed="12"/>
  </sheetPr>
  <dimension ref="A1:D169"/>
  <sheetViews>
    <sheetView showGridLines="0" showRowColHeaders="0" showZeros="0" topLeftCell="A55" zoomScale="90" zoomScaleNormal="90" zoomScaleSheetLayoutView="75" workbookViewId="0">
      <selection activeCell="B2" sqref="B2:C2"/>
    </sheetView>
  </sheetViews>
  <sheetFormatPr defaultColWidth="8.88671875" defaultRowHeight="12"/>
  <cols>
    <col min="1" max="1" width="0.88671875" style="157" customWidth="1"/>
    <col min="2" max="2" width="2.77734375" style="157" customWidth="1"/>
    <col min="3" max="3" width="91.77734375" style="157" customWidth="1"/>
    <col min="4" max="16384" width="8.88671875" style="157"/>
  </cols>
  <sheetData>
    <row r="1" spans="2:4" ht="15" customHeight="1"/>
    <row r="2" spans="2:4" ht="15" customHeight="1">
      <c r="B2" s="1019" t="s">
        <v>2630</v>
      </c>
      <c r="C2" s="1020"/>
    </row>
    <row r="3" spans="2:4" ht="15" customHeight="1">
      <c r="B3" s="264" t="s">
        <v>2708</v>
      </c>
    </row>
    <row r="4" spans="2:4" ht="15" customHeight="1">
      <c r="B4" s="264" t="s">
        <v>2709</v>
      </c>
    </row>
    <row r="5" spans="2:4" ht="15" customHeight="1">
      <c r="B5" s="264" t="s">
        <v>2734</v>
      </c>
      <c r="D5" s="264"/>
    </row>
    <row r="6" spans="2:4" ht="15" customHeight="1">
      <c r="B6" s="1024" t="s">
        <v>1082</v>
      </c>
      <c r="C6" s="1025"/>
      <c r="D6" s="264"/>
    </row>
    <row r="7" spans="2:4" ht="9.9499999999999993" customHeight="1">
      <c r="C7" s="531"/>
      <c r="D7" s="264"/>
    </row>
    <row r="8" spans="2:4" ht="15" customHeight="1">
      <c r="B8" s="1019" t="s">
        <v>2216</v>
      </c>
      <c r="C8" s="1020"/>
    </row>
    <row r="9" spans="2:4" ht="6.95" customHeight="1">
      <c r="C9" s="530"/>
    </row>
    <row r="10" spans="2:4" ht="15" customHeight="1">
      <c r="B10" s="1021" t="s">
        <v>1344</v>
      </c>
      <c r="C10" s="1022"/>
    </row>
    <row r="11" spans="2:4" ht="15" customHeight="1">
      <c r="B11" s="1023"/>
      <c r="C11" s="1022"/>
    </row>
    <row r="12" spans="2:4" ht="15" customHeight="1">
      <c r="B12" s="1023"/>
      <c r="C12" s="1022"/>
    </row>
    <row r="13" spans="2:4" ht="15" customHeight="1">
      <c r="B13" s="533" t="s">
        <v>1041</v>
      </c>
      <c r="C13" s="534" t="s">
        <v>1345</v>
      </c>
    </row>
    <row r="14" spans="2:4" ht="15" customHeight="1">
      <c r="C14" s="413" t="s">
        <v>2225</v>
      </c>
    </row>
    <row r="15" spans="2:4" ht="15" customHeight="1">
      <c r="C15" s="413" t="s">
        <v>2736</v>
      </c>
    </row>
    <row r="16" spans="2:4" ht="15" customHeight="1">
      <c r="C16" s="413" t="s">
        <v>2203</v>
      </c>
    </row>
    <row r="17" spans="2:3" ht="15" customHeight="1">
      <c r="C17" s="413" t="s">
        <v>2204</v>
      </c>
    </row>
    <row r="18" spans="2:3" ht="15" customHeight="1">
      <c r="C18" s="413" t="s">
        <v>2737</v>
      </c>
    </row>
    <row r="19" spans="2:3" ht="15" customHeight="1">
      <c r="C19" s="535" t="s">
        <v>1038</v>
      </c>
    </row>
    <row r="20" spans="2:3" ht="15" customHeight="1">
      <c r="C20" s="535" t="s">
        <v>1039</v>
      </c>
    </row>
    <row r="21" spans="2:3" ht="15" customHeight="1">
      <c r="C21" s="535" t="s">
        <v>1040</v>
      </c>
    </row>
    <row r="22" spans="2:3" ht="15" customHeight="1">
      <c r="C22" s="264" t="s">
        <v>2521</v>
      </c>
    </row>
    <row r="23" spans="2:3" ht="15" customHeight="1">
      <c r="C23" s="545" t="s">
        <v>1037</v>
      </c>
    </row>
    <row r="24" spans="2:3" ht="15" customHeight="1">
      <c r="C24" s="413" t="s">
        <v>2520</v>
      </c>
    </row>
    <row r="25" spans="2:3" ht="15" customHeight="1">
      <c r="C25" s="413" t="s">
        <v>2738</v>
      </c>
    </row>
    <row r="26" spans="2:3" ht="15" customHeight="1">
      <c r="C26" s="413" t="s">
        <v>2739</v>
      </c>
    </row>
    <row r="27" spans="2:3" ht="15" customHeight="1">
      <c r="C27" s="413" t="s">
        <v>2205</v>
      </c>
    </row>
    <row r="28" spans="2:3" ht="15" customHeight="1">
      <c r="C28" s="413" t="s">
        <v>2740</v>
      </c>
    </row>
    <row r="29" spans="2:3" ht="15" customHeight="1">
      <c r="C29" s="413" t="s">
        <v>2741</v>
      </c>
    </row>
    <row r="30" spans="2:3" ht="15" customHeight="1">
      <c r="C30" s="535" t="s">
        <v>2226</v>
      </c>
    </row>
    <row r="31" spans="2:3" ht="15" customHeight="1">
      <c r="B31" s="450" t="s">
        <v>1042</v>
      </c>
      <c r="C31" s="264" t="s">
        <v>1043</v>
      </c>
    </row>
    <row r="32" spans="2:3" ht="15" customHeight="1">
      <c r="C32" s="264" t="s">
        <v>2227</v>
      </c>
    </row>
    <row r="33" spans="2:3" ht="15" customHeight="1">
      <c r="C33" s="413" t="s">
        <v>2594</v>
      </c>
    </row>
    <row r="34" spans="2:3" ht="15" customHeight="1">
      <c r="C34" s="538" t="s">
        <v>2571</v>
      </c>
    </row>
    <row r="35" spans="2:3" ht="15" customHeight="1">
      <c r="C35" s="413" t="s">
        <v>2228</v>
      </c>
    </row>
    <row r="36" spans="2:3" ht="15" customHeight="1">
      <c r="C36" s="536" t="s">
        <v>2229</v>
      </c>
    </row>
    <row r="37" spans="2:3" ht="15" customHeight="1">
      <c r="C37" s="413" t="s">
        <v>2230</v>
      </c>
    </row>
    <row r="38" spans="2:3" ht="15" customHeight="1">
      <c r="C38" s="535" t="s">
        <v>1045</v>
      </c>
    </row>
    <row r="39" spans="2:3" ht="15" customHeight="1">
      <c r="C39" s="535" t="s">
        <v>1046</v>
      </c>
    </row>
    <row r="40" spans="2:3" ht="15" customHeight="1">
      <c r="C40" s="413" t="s">
        <v>2231</v>
      </c>
    </row>
    <row r="41" spans="2:3" ht="15" customHeight="1">
      <c r="C41" s="412" t="s">
        <v>1044</v>
      </c>
    </row>
    <row r="42" spans="2:3" ht="15" customHeight="1">
      <c r="C42" s="413" t="s">
        <v>2522</v>
      </c>
    </row>
    <row r="43" spans="2:3" ht="9.9499999999999993" customHeight="1">
      <c r="C43" s="413"/>
    </row>
    <row r="44" spans="2:3" ht="15" customHeight="1">
      <c r="B44" s="1019" t="s">
        <v>2735</v>
      </c>
      <c r="C44" s="1020"/>
    </row>
    <row r="45" spans="2:3" ht="15" customHeight="1">
      <c r="B45" s="1026" t="s">
        <v>2232</v>
      </c>
      <c r="C45" s="1027"/>
    </row>
    <row r="46" spans="2:3" ht="15" customHeight="1">
      <c r="B46" s="1022"/>
      <c r="C46" s="1022"/>
    </row>
    <row r="47" spans="2:3" ht="15" customHeight="1">
      <c r="B47" s="532"/>
      <c r="C47" s="416" t="s">
        <v>2572</v>
      </c>
    </row>
    <row r="48" spans="2:3" ht="15" customHeight="1">
      <c r="B48" s="532"/>
      <c r="C48" s="415" t="s">
        <v>2573</v>
      </c>
    </row>
    <row r="49" spans="2:3" ht="15" customHeight="1">
      <c r="C49" s="414" t="s">
        <v>2580</v>
      </c>
    </row>
    <row r="50" spans="2:3" ht="15" customHeight="1">
      <c r="C50" s="418" t="s">
        <v>2581</v>
      </c>
    </row>
    <row r="51" spans="2:3" ht="15" customHeight="1">
      <c r="C51" s="417" t="s">
        <v>2523</v>
      </c>
    </row>
    <row r="52" spans="2:3" ht="15" customHeight="1">
      <c r="B52" s="450" t="s">
        <v>1041</v>
      </c>
      <c r="C52" s="415" t="s">
        <v>1081</v>
      </c>
    </row>
    <row r="53" spans="2:3" ht="15" customHeight="1">
      <c r="B53" s="450"/>
      <c r="C53" s="535" t="s">
        <v>2596</v>
      </c>
    </row>
    <row r="54" spans="2:3" ht="15" customHeight="1">
      <c r="B54" s="450" t="s">
        <v>1042</v>
      </c>
      <c r="C54" s="537" t="s">
        <v>1064</v>
      </c>
    </row>
    <row r="55" spans="2:3" ht="15" customHeight="1">
      <c r="B55" s="450" t="s">
        <v>2582</v>
      </c>
      <c r="C55" s="537" t="s">
        <v>2597</v>
      </c>
    </row>
    <row r="56" spans="2:3" ht="15" customHeight="1">
      <c r="B56" s="450"/>
      <c r="C56" s="535" t="s">
        <v>2584</v>
      </c>
    </row>
    <row r="57" spans="2:3" ht="15" customHeight="1">
      <c r="B57" s="450" t="s">
        <v>2582</v>
      </c>
      <c r="C57" s="537" t="s">
        <v>2583</v>
      </c>
    </row>
    <row r="58" spans="2:3" ht="15" customHeight="1">
      <c r="B58" s="539"/>
      <c r="C58" s="412" t="s">
        <v>2566</v>
      </c>
    </row>
    <row r="59" spans="2:3" ht="15" customHeight="1">
      <c r="B59" s="539"/>
      <c r="C59" s="412" t="s">
        <v>2569</v>
      </c>
    </row>
    <row r="60" spans="2:3" ht="15" customHeight="1">
      <c r="B60" s="532"/>
      <c r="C60" s="412" t="s">
        <v>2570</v>
      </c>
    </row>
    <row r="61" spans="2:3" ht="15" customHeight="1">
      <c r="C61" s="540" t="s">
        <v>2233</v>
      </c>
    </row>
    <row r="62" spans="2:3" ht="9.9499999999999993" customHeight="1">
      <c r="C62" s="413"/>
    </row>
    <row r="63" spans="2:3" ht="15" customHeight="1">
      <c r="B63" s="1019" t="s">
        <v>2215</v>
      </c>
      <c r="C63" s="1020"/>
    </row>
    <row r="64" spans="2:3" ht="15" customHeight="1">
      <c r="B64" s="157">
        <v>1</v>
      </c>
      <c r="C64" s="413" t="s">
        <v>1388</v>
      </c>
    </row>
    <row r="65" spans="1:3" ht="15" customHeight="1">
      <c r="B65" s="157">
        <v>2</v>
      </c>
      <c r="C65" s="413" t="s">
        <v>2188</v>
      </c>
    </row>
    <row r="66" spans="1:3" ht="15" customHeight="1">
      <c r="B66" s="157">
        <f>1+B65</f>
        <v>3</v>
      </c>
      <c r="C66" s="413" t="s">
        <v>2192</v>
      </c>
    </row>
    <row r="67" spans="1:3" ht="15" customHeight="1">
      <c r="A67" s="157">
        <f t="shared" ref="A67:A84" si="0">1+A66</f>
        <v>1</v>
      </c>
      <c r="B67" s="157">
        <f t="shared" ref="B67:B84" si="1">1+B66</f>
        <v>4</v>
      </c>
      <c r="C67" s="413" t="s">
        <v>2193</v>
      </c>
    </row>
    <row r="68" spans="1:3" ht="15" customHeight="1">
      <c r="A68" s="157">
        <f t="shared" si="0"/>
        <v>2</v>
      </c>
      <c r="B68" s="157">
        <f t="shared" si="1"/>
        <v>5</v>
      </c>
      <c r="C68" s="413" t="s">
        <v>2194</v>
      </c>
    </row>
    <row r="69" spans="1:3" ht="15" customHeight="1">
      <c r="A69" s="157">
        <f t="shared" si="0"/>
        <v>3</v>
      </c>
      <c r="B69" s="157">
        <f t="shared" si="1"/>
        <v>6</v>
      </c>
      <c r="C69" s="413" t="s">
        <v>2195</v>
      </c>
    </row>
    <row r="70" spans="1:3" ht="15" customHeight="1">
      <c r="A70" s="157">
        <f t="shared" si="0"/>
        <v>4</v>
      </c>
      <c r="B70" s="157">
        <f t="shared" si="1"/>
        <v>7</v>
      </c>
      <c r="C70" s="412" t="s">
        <v>2196</v>
      </c>
    </row>
    <row r="71" spans="1:3" ht="15" customHeight="1">
      <c r="A71" s="157">
        <f t="shared" si="0"/>
        <v>5</v>
      </c>
      <c r="B71" s="157">
        <f t="shared" si="1"/>
        <v>8</v>
      </c>
      <c r="C71" s="413" t="s">
        <v>2197</v>
      </c>
    </row>
    <row r="72" spans="1:3" ht="15" customHeight="1">
      <c r="A72" s="157">
        <f t="shared" si="0"/>
        <v>6</v>
      </c>
      <c r="B72" s="157">
        <f t="shared" si="1"/>
        <v>9</v>
      </c>
      <c r="C72" s="412" t="s">
        <v>2198</v>
      </c>
    </row>
    <row r="73" spans="1:3" ht="15" customHeight="1">
      <c r="C73" s="540" t="s">
        <v>1386</v>
      </c>
    </row>
    <row r="74" spans="1:3" ht="15" customHeight="1">
      <c r="C74" s="540" t="s">
        <v>1387</v>
      </c>
    </row>
    <row r="75" spans="1:3" ht="15" customHeight="1">
      <c r="C75" s="540" t="s">
        <v>1061</v>
      </c>
    </row>
    <row r="76" spans="1:3" ht="15" customHeight="1">
      <c r="A76" s="157">
        <f>1+A72</f>
        <v>7</v>
      </c>
      <c r="B76" s="157">
        <f>1+B72</f>
        <v>10</v>
      </c>
      <c r="C76" s="412" t="s">
        <v>2199</v>
      </c>
    </row>
    <row r="77" spans="1:3" ht="15" customHeight="1">
      <c r="C77" s="544" t="s">
        <v>1060</v>
      </c>
    </row>
    <row r="78" spans="1:3" ht="15" customHeight="1">
      <c r="C78" s="543" t="s">
        <v>1065</v>
      </c>
    </row>
    <row r="79" spans="1:3" ht="15" customHeight="1">
      <c r="C79" s="542" t="s">
        <v>1062</v>
      </c>
    </row>
    <row r="80" spans="1:3" ht="15" customHeight="1">
      <c r="C80" s="544" t="s">
        <v>1063</v>
      </c>
    </row>
    <row r="81" spans="1:3" ht="15" customHeight="1">
      <c r="A81" s="157">
        <f>1+A76</f>
        <v>8</v>
      </c>
      <c r="B81" s="157">
        <f>1+B76</f>
        <v>11</v>
      </c>
      <c r="C81" s="413" t="s">
        <v>2200</v>
      </c>
    </row>
    <row r="82" spans="1:3" ht="15" customHeight="1">
      <c r="A82" s="157">
        <f t="shared" si="0"/>
        <v>9</v>
      </c>
      <c r="B82" s="157">
        <f t="shared" si="1"/>
        <v>12</v>
      </c>
      <c r="C82" s="413" t="s">
        <v>2201</v>
      </c>
    </row>
    <row r="83" spans="1:3" ht="15" customHeight="1">
      <c r="A83" s="157">
        <f t="shared" si="0"/>
        <v>10</v>
      </c>
      <c r="B83" s="157">
        <f t="shared" si="1"/>
        <v>13</v>
      </c>
      <c r="C83" s="412" t="s">
        <v>2202</v>
      </c>
    </row>
    <row r="84" spans="1:3" ht="15" customHeight="1">
      <c r="A84" s="157">
        <f t="shared" si="0"/>
        <v>11</v>
      </c>
      <c r="B84" s="157">
        <f t="shared" si="1"/>
        <v>14</v>
      </c>
      <c r="C84" s="157" t="s">
        <v>2208</v>
      </c>
    </row>
    <row r="85" spans="1:3" ht="15" customHeight="1">
      <c r="C85" s="542" t="s">
        <v>2598</v>
      </c>
    </row>
    <row r="86" spans="1:3" ht="15" customHeight="1">
      <c r="C86" s="541" t="s">
        <v>2212</v>
      </c>
    </row>
    <row r="87" spans="1:3" ht="15" customHeight="1">
      <c r="B87" s="157">
        <v>15</v>
      </c>
      <c r="C87" s="413" t="s">
        <v>2209</v>
      </c>
    </row>
    <row r="88" spans="1:3" ht="15" customHeight="1">
      <c r="C88" s="541" t="s">
        <v>2211</v>
      </c>
    </row>
    <row r="89" spans="1:3" ht="15" customHeight="1">
      <c r="B89" s="157">
        <v>16</v>
      </c>
      <c r="C89" s="413" t="s">
        <v>2210</v>
      </c>
    </row>
    <row r="90" spans="1:3" ht="15" customHeight="1">
      <c r="C90" s="540" t="s">
        <v>2592</v>
      </c>
    </row>
    <row r="91" spans="1:3" ht="15" customHeight="1">
      <c r="C91" s="540" t="s">
        <v>2593</v>
      </c>
    </row>
    <row r="92" spans="1:3" ht="15" customHeight="1">
      <c r="B92" s="157">
        <v>17</v>
      </c>
      <c r="C92" s="413" t="s">
        <v>2213</v>
      </c>
    </row>
    <row r="93" spans="1:3" ht="15" customHeight="1">
      <c r="B93" s="157">
        <v>18</v>
      </c>
      <c r="C93" s="412" t="s">
        <v>2214</v>
      </c>
    </row>
    <row r="94" spans="1:3" ht="15" customHeight="1">
      <c r="B94" s="157">
        <v>19</v>
      </c>
      <c r="C94" s="412" t="s">
        <v>2585</v>
      </c>
    </row>
    <row r="95" spans="1:3" ht="15" customHeight="1">
      <c r="C95" s="413" t="s">
        <v>2586</v>
      </c>
    </row>
    <row r="96" spans="1:3" ht="15" customHeight="1">
      <c r="B96" s="157">
        <v>20</v>
      </c>
      <c r="C96" s="412" t="s">
        <v>2587</v>
      </c>
    </row>
    <row r="97" spans="2:3" ht="15" customHeight="1">
      <c r="C97" s="413" t="s">
        <v>2588</v>
      </c>
    </row>
    <row r="98" spans="2:3" ht="15" customHeight="1">
      <c r="B98" s="157">
        <v>21</v>
      </c>
      <c r="C98" s="412" t="s">
        <v>2591</v>
      </c>
    </row>
    <row r="99" spans="2:3" ht="15" customHeight="1">
      <c r="C99" s="413" t="s">
        <v>2589</v>
      </c>
    </row>
    <row r="100" spans="2:3" ht="15" customHeight="1"/>
    <row r="101" spans="2:3" hidden="1">
      <c r="C101" s="244" t="s">
        <v>1156</v>
      </c>
    </row>
    <row r="102" spans="2:3" hidden="1"/>
    <row r="103" spans="2:3" hidden="1"/>
    <row r="104" spans="2:3" hidden="1"/>
    <row r="105" spans="2:3" hidden="1">
      <c r="C105" s="159" t="s">
        <v>2237</v>
      </c>
    </row>
    <row r="106" spans="2:3" hidden="1">
      <c r="C106" s="245" t="s">
        <v>1157</v>
      </c>
    </row>
    <row r="107" spans="2:3" hidden="1">
      <c r="C107" s="158" t="s">
        <v>1153</v>
      </c>
    </row>
    <row r="108" spans="2:3" hidden="1">
      <c r="C108" s="158" t="s">
        <v>1154</v>
      </c>
    </row>
    <row r="109" spans="2:3" hidden="1">
      <c r="C109" s="158" t="s">
        <v>2285</v>
      </c>
    </row>
    <row r="110" spans="2:3" hidden="1">
      <c r="C110" s="243" t="s">
        <v>1155</v>
      </c>
    </row>
    <row r="111" spans="2:3" hidden="1">
      <c r="C111" s="157" t="s">
        <v>2287</v>
      </c>
    </row>
    <row r="112" spans="2:3" hidden="1">
      <c r="C112" s="157" t="s">
        <v>2288</v>
      </c>
    </row>
    <row r="113" spans="3:3" hidden="1">
      <c r="C113" s="157" t="s">
        <v>2289</v>
      </c>
    </row>
    <row r="114" spans="3:3" hidden="1">
      <c r="C114" s="157" t="s">
        <v>2286</v>
      </c>
    </row>
    <row r="115" spans="3:3" hidden="1">
      <c r="C115" s="158" t="s">
        <v>2234</v>
      </c>
    </row>
    <row r="116" spans="3:3" hidden="1">
      <c r="C116" s="158" t="s">
        <v>2290</v>
      </c>
    </row>
    <row r="117" spans="3:3" hidden="1">
      <c r="C117" s="244" t="s">
        <v>1164</v>
      </c>
    </row>
    <row r="118" spans="3:3" hidden="1">
      <c r="C118" s="157" t="s">
        <v>1162</v>
      </c>
    </row>
    <row r="119" spans="3:3" hidden="1">
      <c r="C119" s="160" t="s">
        <v>2454</v>
      </c>
    </row>
    <row r="120" spans="3:3" hidden="1">
      <c r="C120" s="159" t="s">
        <v>1178</v>
      </c>
    </row>
    <row r="121" spans="3:3" hidden="1">
      <c r="C121" s="159" t="s">
        <v>1179</v>
      </c>
    </row>
    <row r="122" spans="3:3" hidden="1">
      <c r="C122" s="157" t="s">
        <v>2284</v>
      </c>
    </row>
    <row r="123" spans="3:3" hidden="1">
      <c r="C123" s="160" t="s">
        <v>2319</v>
      </c>
    </row>
    <row r="124" spans="3:3" hidden="1">
      <c r="C124" s="158" t="s">
        <v>1163</v>
      </c>
    </row>
    <row r="125" spans="3:3" hidden="1">
      <c r="C125" s="157" t="s">
        <v>2256</v>
      </c>
    </row>
    <row r="126" spans="3:3" hidden="1">
      <c r="C126" s="160" t="s">
        <v>2320</v>
      </c>
    </row>
    <row r="127" spans="3:3" hidden="1">
      <c r="C127" s="158" t="s">
        <v>1152</v>
      </c>
    </row>
    <row r="128" spans="3:3" hidden="1">
      <c r="C128" s="157" t="s">
        <v>2257</v>
      </c>
    </row>
    <row r="129" spans="3:3" hidden="1">
      <c r="C129" s="160" t="s">
        <v>2321</v>
      </c>
    </row>
    <row r="130" spans="3:3" hidden="1">
      <c r="C130" s="158" t="s">
        <v>1151</v>
      </c>
    </row>
    <row r="131" spans="3:3" hidden="1">
      <c r="C131" s="157" t="s">
        <v>2258</v>
      </c>
    </row>
    <row r="132" spans="3:3" hidden="1">
      <c r="C132" s="160" t="s">
        <v>2322</v>
      </c>
    </row>
    <row r="133" spans="3:3" hidden="1">
      <c r="C133" s="158" t="s">
        <v>1150</v>
      </c>
    </row>
    <row r="134" spans="3:3" hidden="1">
      <c r="C134" s="157" t="s">
        <v>2259</v>
      </c>
    </row>
    <row r="135" spans="3:3" hidden="1">
      <c r="C135" s="160" t="s">
        <v>2323</v>
      </c>
    </row>
    <row r="136" spans="3:3" hidden="1">
      <c r="C136" s="158" t="s">
        <v>1149</v>
      </c>
    </row>
    <row r="137" spans="3:3" hidden="1">
      <c r="C137" s="157" t="s">
        <v>2260</v>
      </c>
    </row>
    <row r="138" spans="3:3" hidden="1">
      <c r="C138" s="160" t="s">
        <v>2324</v>
      </c>
    </row>
    <row r="139" spans="3:3" hidden="1">
      <c r="C139" s="158" t="s">
        <v>1146</v>
      </c>
    </row>
    <row r="140" spans="3:3" hidden="1">
      <c r="C140" s="157" t="s">
        <v>2262</v>
      </c>
    </row>
    <row r="141" spans="3:3" hidden="1">
      <c r="C141" s="160" t="s">
        <v>2325</v>
      </c>
    </row>
    <row r="142" spans="3:3" hidden="1">
      <c r="C142" s="158" t="s">
        <v>1145</v>
      </c>
    </row>
    <row r="143" spans="3:3" hidden="1">
      <c r="C143" s="157" t="s">
        <v>2261</v>
      </c>
    </row>
    <row r="144" spans="3:3" hidden="1">
      <c r="C144" s="160" t="s">
        <v>2326</v>
      </c>
    </row>
    <row r="145" spans="3:3" hidden="1">
      <c r="C145" s="158" t="s">
        <v>1144</v>
      </c>
    </row>
    <row r="146" spans="3:3" hidden="1">
      <c r="C146" s="157" t="s">
        <v>2263</v>
      </c>
    </row>
    <row r="147" spans="3:3" hidden="1">
      <c r="C147" s="160" t="s">
        <v>2327</v>
      </c>
    </row>
    <row r="148" spans="3:3" hidden="1">
      <c r="C148" s="158" t="s">
        <v>1143</v>
      </c>
    </row>
    <row r="149" spans="3:3" hidden="1">
      <c r="C149" s="157" t="s">
        <v>2273</v>
      </c>
    </row>
    <row r="150" spans="3:3" hidden="1">
      <c r="C150" s="160" t="s">
        <v>2328</v>
      </c>
    </row>
    <row r="151" spans="3:3" hidden="1">
      <c r="C151" s="158" t="s">
        <v>2276</v>
      </c>
    </row>
    <row r="152" spans="3:3" hidden="1">
      <c r="C152" s="158" t="s">
        <v>2277</v>
      </c>
    </row>
    <row r="153" spans="3:3" hidden="1">
      <c r="C153" s="157" t="s">
        <v>1160</v>
      </c>
    </row>
    <row r="154" spans="3:3" hidden="1">
      <c r="C154" s="157" t="s">
        <v>1161</v>
      </c>
    </row>
    <row r="155" spans="3:3" hidden="1">
      <c r="C155" s="160" t="s">
        <v>2329</v>
      </c>
    </row>
    <row r="156" spans="3:3" hidden="1">
      <c r="C156" s="158" t="s">
        <v>2278</v>
      </c>
    </row>
    <row r="157" spans="3:3" hidden="1">
      <c r="C157" s="158" t="s">
        <v>2279</v>
      </c>
    </row>
    <row r="158" spans="3:3" hidden="1">
      <c r="C158" s="160" t="s">
        <v>2330</v>
      </c>
    </row>
    <row r="159" spans="3:3" hidden="1">
      <c r="C159" s="158" t="s">
        <v>2280</v>
      </c>
    </row>
    <row r="160" spans="3:3" hidden="1">
      <c r="C160" s="158" t="s">
        <v>2281</v>
      </c>
    </row>
    <row r="161" spans="3:3" hidden="1">
      <c r="C161" s="158" t="s">
        <v>2282</v>
      </c>
    </row>
    <row r="162" spans="3:3" hidden="1">
      <c r="C162" s="157" t="s">
        <v>1158</v>
      </c>
    </row>
    <row r="163" spans="3:3" hidden="1">
      <c r="C163" s="157" t="s">
        <v>1159</v>
      </c>
    </row>
    <row r="164" spans="3:3" hidden="1">
      <c r="C164" s="160" t="s">
        <v>2331</v>
      </c>
    </row>
    <row r="165" spans="3:3" hidden="1">
      <c r="C165" s="157" t="s">
        <v>2274</v>
      </c>
    </row>
    <row r="166" spans="3:3" hidden="1">
      <c r="C166" s="160" t="s">
        <v>2332</v>
      </c>
    </row>
    <row r="167" spans="3:3" hidden="1">
      <c r="C167" s="158" t="s">
        <v>2283</v>
      </c>
    </row>
    <row r="168" spans="3:3" hidden="1">
      <c r="C168" s="160" t="s">
        <v>2333</v>
      </c>
    </row>
    <row r="169" spans="3:3" hidden="1">
      <c r="C169" s="157" t="s">
        <v>2275</v>
      </c>
    </row>
  </sheetData>
  <mergeCells count="7">
    <mergeCell ref="B63:C63"/>
    <mergeCell ref="B44:C44"/>
    <mergeCell ref="B8:C8"/>
    <mergeCell ref="B2:C2"/>
    <mergeCell ref="B10:C12"/>
    <mergeCell ref="B6:C6"/>
    <mergeCell ref="B45:C46"/>
  </mergeCells>
  <phoneticPr fontId="25" type="noConversion"/>
  <printOptions horizontalCentered="1"/>
  <pageMargins left="0.25" right="0.25" top="0.25" bottom="0.25" header="0" footer="0"/>
  <pageSetup scale="90" orientation="portrait" blackAndWhite="1" r:id="rId1"/>
  <headerFooter alignWithMargins="0"/>
  <rowBreaks count="1" manualBreakCount="1">
    <brk id="43" min="1" max="1" man="1"/>
  </rowBreaks>
  <customProperties>
    <customPr name="SSCSheetTrackingNo" r:id="rId2"/>
  </customProperties>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3">
    <tabColor indexed="47"/>
    <pageSetUpPr fitToPage="1"/>
  </sheetPr>
  <dimension ref="A2:C17"/>
  <sheetViews>
    <sheetView showGridLines="0" showRowColHeaders="0" showZeros="0" zoomScale="90" workbookViewId="0">
      <selection activeCell="B2" sqref="B2:C2"/>
    </sheetView>
  </sheetViews>
  <sheetFormatPr defaultColWidth="8.88671875" defaultRowHeight="15"/>
  <cols>
    <col min="1" max="1" width="1.77734375" style="270" customWidth="1"/>
    <col min="2" max="2" width="2.77734375" style="270" customWidth="1"/>
    <col min="3" max="3" width="80.77734375" style="270" customWidth="1"/>
    <col min="4" max="16384" width="8.88671875" style="270"/>
  </cols>
  <sheetData>
    <row r="2" spans="1:3">
      <c r="B2" s="1028" t="s">
        <v>2707</v>
      </c>
      <c r="C2" s="1029"/>
    </row>
    <row r="3" spans="1:3">
      <c r="C3" s="269"/>
    </row>
    <row r="4" spans="1:3" ht="30" customHeight="1">
      <c r="A4" s="527"/>
      <c r="B4" s="528" t="s">
        <v>2722</v>
      </c>
      <c r="C4" s="526" t="s">
        <v>2703</v>
      </c>
    </row>
    <row r="5" spans="1:3">
      <c r="A5" s="527"/>
      <c r="B5" s="527"/>
      <c r="C5" s="264"/>
    </row>
    <row r="6" spans="1:3" ht="15" customHeight="1">
      <c r="A6" s="527"/>
      <c r="B6" s="529" t="s">
        <v>2723</v>
      </c>
      <c r="C6" s="526" t="s">
        <v>2704</v>
      </c>
    </row>
    <row r="7" spans="1:3">
      <c r="A7" s="527"/>
      <c r="B7" s="527"/>
      <c r="C7" s="264"/>
    </row>
    <row r="8" spans="1:3">
      <c r="A8" s="527"/>
      <c r="B8" s="529" t="s">
        <v>2724</v>
      </c>
      <c r="C8" s="264" t="s">
        <v>2705</v>
      </c>
    </row>
    <row r="9" spans="1:3">
      <c r="A9" s="527"/>
      <c r="B9" s="527"/>
      <c r="C9" s="264"/>
    </row>
    <row r="10" spans="1:3">
      <c r="A10" s="527"/>
      <c r="B10" s="529" t="s">
        <v>2725</v>
      </c>
      <c r="C10" s="264" t="s">
        <v>2706</v>
      </c>
    </row>
    <row r="11" spans="1:3">
      <c r="A11" s="527"/>
      <c r="B11" s="527"/>
      <c r="C11" s="264"/>
    </row>
    <row r="12" spans="1:3" ht="24">
      <c r="A12" s="527"/>
      <c r="B12" s="528" t="s">
        <v>2726</v>
      </c>
      <c r="C12" s="526" t="s">
        <v>2719</v>
      </c>
    </row>
    <row r="13" spans="1:3">
      <c r="A13" s="527"/>
      <c r="B13" s="527"/>
      <c r="C13" s="264"/>
    </row>
    <row r="14" spans="1:3">
      <c r="A14" s="527"/>
      <c r="B14" s="529" t="s">
        <v>2727</v>
      </c>
      <c r="C14" s="264" t="s">
        <v>2720</v>
      </c>
    </row>
    <row r="15" spans="1:3">
      <c r="A15" s="527"/>
      <c r="B15" s="527"/>
      <c r="C15" s="264"/>
    </row>
    <row r="16" spans="1:3">
      <c r="A16" s="527"/>
      <c r="B16" s="529" t="s">
        <v>2728</v>
      </c>
      <c r="C16" s="264" t="s">
        <v>2721</v>
      </c>
    </row>
    <row r="17" spans="3:3" ht="15.75">
      <c r="C17" s="271"/>
    </row>
  </sheetData>
  <mergeCells count="1">
    <mergeCell ref="B2:C2"/>
  </mergeCells>
  <phoneticPr fontId="25" type="noConversion"/>
  <printOptions horizontalCentered="1"/>
  <pageMargins left="0.75" right="0.75" top="1" bottom="1" header="0.5" footer="0.5"/>
  <pageSetup scale="95" orientation="portrait" blackAndWhite="1" r:id="rId1"/>
  <headerFooter alignWithMargins="0"/>
  <customProperties>
    <customPr name="SSCSheetTrackingNo" r:id="rId2"/>
  </customPropertie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9"/>
  <dimension ref="B2:C75"/>
  <sheetViews>
    <sheetView showGridLines="0" showRowColHeaders="0" zoomScale="90" workbookViewId="0">
      <selection activeCell="C75" sqref="C75"/>
    </sheetView>
  </sheetViews>
  <sheetFormatPr defaultColWidth="8.88671875" defaultRowHeight="12"/>
  <cols>
    <col min="1" max="1" width="2.77734375" style="615" customWidth="1"/>
    <col min="2" max="2" width="21.6640625" style="615" customWidth="1"/>
    <col min="3" max="16384" width="8.88671875" style="615"/>
  </cols>
  <sheetData>
    <row r="2" spans="2:3">
      <c r="B2" s="615" t="s">
        <v>1172</v>
      </c>
    </row>
    <row r="4" spans="2:3">
      <c r="B4" s="615" t="s">
        <v>1167</v>
      </c>
      <c r="C4" s="615" t="s">
        <v>1168</v>
      </c>
    </row>
    <row r="6" spans="2:3">
      <c r="B6" s="615" t="s">
        <v>1169</v>
      </c>
      <c r="C6" s="615" t="s">
        <v>1174</v>
      </c>
    </row>
    <row r="8" spans="2:3">
      <c r="B8" s="615" t="s">
        <v>1171</v>
      </c>
      <c r="C8" s="615" t="s">
        <v>1173</v>
      </c>
    </row>
    <row r="10" spans="2:3">
      <c r="B10" s="615" t="s">
        <v>1170</v>
      </c>
      <c r="C10" s="615" t="s">
        <v>1175</v>
      </c>
    </row>
    <row r="11" spans="2:3">
      <c r="C11" s="615" t="s">
        <v>1177</v>
      </c>
    </row>
    <row r="12" spans="2:3">
      <c r="C12" s="615" t="s">
        <v>1176</v>
      </c>
    </row>
    <row r="14" spans="2:3">
      <c r="B14" s="615" t="s">
        <v>2668</v>
      </c>
      <c r="C14" s="615" t="s">
        <v>1174</v>
      </c>
    </row>
    <row r="16" spans="2:3">
      <c r="B16" s="615" t="s">
        <v>2363</v>
      </c>
      <c r="C16" s="615" t="s">
        <v>2360</v>
      </c>
    </row>
    <row r="17" spans="2:3">
      <c r="C17" s="615" t="s">
        <v>2359</v>
      </c>
    </row>
    <row r="18" spans="2:3">
      <c r="C18" s="615" t="s">
        <v>2362</v>
      </c>
    </row>
    <row r="20" spans="2:3">
      <c r="B20" s="615" t="s">
        <v>1079</v>
      </c>
      <c r="C20" s="615" t="s">
        <v>2525</v>
      </c>
    </row>
    <row r="22" spans="2:3">
      <c r="B22" s="615" t="s">
        <v>2393</v>
      </c>
      <c r="C22" s="615" t="s">
        <v>2391</v>
      </c>
    </row>
    <row r="23" spans="2:3">
      <c r="C23" s="615" t="s">
        <v>2392</v>
      </c>
    </row>
    <row r="24" spans="2:3">
      <c r="C24" s="615" t="s">
        <v>2576</v>
      </c>
    </row>
    <row r="25" spans="2:3">
      <c r="C25" s="615" t="s">
        <v>2575</v>
      </c>
    </row>
    <row r="27" spans="2:3">
      <c r="B27" s="615" t="s">
        <v>2578</v>
      </c>
      <c r="C27" s="615" t="s">
        <v>2579</v>
      </c>
    </row>
    <row r="29" spans="2:3">
      <c r="B29" s="615" t="s">
        <v>2396</v>
      </c>
      <c r="C29" s="615" t="s">
        <v>1264</v>
      </c>
    </row>
    <row r="30" spans="2:3">
      <c r="C30" s="615" t="s">
        <v>2395</v>
      </c>
    </row>
    <row r="32" spans="2:3">
      <c r="B32" s="615" t="s">
        <v>2661</v>
      </c>
      <c r="C32" s="615" t="s">
        <v>2662</v>
      </c>
    </row>
    <row r="34" spans="2:3">
      <c r="B34" s="615" t="s">
        <v>2224</v>
      </c>
      <c r="C34" s="615" t="s">
        <v>2615</v>
      </c>
    </row>
    <row r="35" spans="2:3">
      <c r="C35" s="615" t="s">
        <v>2614</v>
      </c>
    </row>
    <row r="36" spans="2:3">
      <c r="C36" s="615" t="s">
        <v>2223</v>
      </c>
    </row>
    <row r="38" spans="2:3">
      <c r="B38" s="615" t="s">
        <v>2567</v>
      </c>
      <c r="C38" s="615" t="s">
        <v>2568</v>
      </c>
    </row>
    <row r="40" spans="2:3">
      <c r="B40" s="615" t="s">
        <v>1282</v>
      </c>
      <c r="C40" s="615" t="s">
        <v>2742</v>
      </c>
    </row>
    <row r="41" spans="2:3">
      <c r="C41" s="615" t="s">
        <v>1281</v>
      </c>
    </row>
    <row r="43" spans="2:3">
      <c r="B43" s="615" t="s">
        <v>2685</v>
      </c>
      <c r="C43" s="615" t="s">
        <v>2379</v>
      </c>
    </row>
    <row r="45" spans="2:3">
      <c r="B45" s="615" t="s">
        <v>1147</v>
      </c>
      <c r="C45" s="615" t="s">
        <v>1148</v>
      </c>
    </row>
    <row r="47" spans="2:3">
      <c r="B47" s="615" t="s">
        <v>2267</v>
      </c>
      <c r="C47" s="615" t="s">
        <v>2272</v>
      </c>
    </row>
    <row r="48" spans="2:3">
      <c r="C48" s="615" t="s">
        <v>2268</v>
      </c>
    </row>
    <row r="49" spans="2:3">
      <c r="C49" s="615" t="s">
        <v>2269</v>
      </c>
    </row>
    <row r="50" spans="2:3">
      <c r="C50" s="615" t="s">
        <v>2270</v>
      </c>
    </row>
    <row r="51" spans="2:3">
      <c r="C51" s="615" t="s">
        <v>2271</v>
      </c>
    </row>
    <row r="53" spans="2:3">
      <c r="B53" s="615" t="s">
        <v>1034</v>
      </c>
      <c r="C53" s="615" t="s">
        <v>1035</v>
      </c>
    </row>
    <row r="55" spans="2:3">
      <c r="B55" s="615" t="s">
        <v>2745</v>
      </c>
      <c r="C55" s="615" t="s">
        <v>2746</v>
      </c>
    </row>
    <row r="57" spans="2:3">
      <c r="B57" s="615" t="s">
        <v>2755</v>
      </c>
      <c r="C57" s="615" t="s">
        <v>2756</v>
      </c>
    </row>
    <row r="59" spans="2:3">
      <c r="B59" s="615" t="s">
        <v>2757</v>
      </c>
      <c r="C59" s="615" t="s">
        <v>2758</v>
      </c>
    </row>
    <row r="61" spans="2:3">
      <c r="B61" s="615" t="s">
        <v>2761</v>
      </c>
      <c r="C61" s="615" t="s">
        <v>2765</v>
      </c>
    </row>
    <row r="63" spans="2:3">
      <c r="B63" s="615" t="s">
        <v>2762</v>
      </c>
      <c r="C63" s="615" t="s">
        <v>2763</v>
      </c>
    </row>
    <row r="65" spans="2:3">
      <c r="B65" s="615" t="s">
        <v>2764</v>
      </c>
      <c r="C65" s="615" t="s">
        <v>2766</v>
      </c>
    </row>
    <row r="67" spans="2:3">
      <c r="B67" s="615" t="s">
        <v>2768</v>
      </c>
      <c r="C67" s="615" t="s">
        <v>2767</v>
      </c>
    </row>
    <row r="69" spans="2:3">
      <c r="B69" s="615" t="s">
        <v>2777</v>
      </c>
      <c r="C69" s="615" t="s">
        <v>2778</v>
      </c>
    </row>
    <row r="71" spans="2:3">
      <c r="B71" s="615" t="s">
        <v>2779</v>
      </c>
      <c r="C71" s="615" t="s">
        <v>2780</v>
      </c>
    </row>
    <row r="73" spans="2:3">
      <c r="B73" s="615" t="s">
        <v>2782</v>
      </c>
      <c r="C73" s="615" t="s">
        <v>2781</v>
      </c>
    </row>
    <row r="75" spans="2:3">
      <c r="B75" s="615" t="s">
        <v>2783</v>
      </c>
      <c r="C75" s="615" t="s">
        <v>2781</v>
      </c>
    </row>
  </sheetData>
  <phoneticPr fontId="25" type="noConversion"/>
  <pageMargins left="0.75" right="0.75" top="1" bottom="1" header="0.5" footer="0.5"/>
  <headerFooter alignWithMargins="0"/>
  <customProperties>
    <customPr name="SSCSheetTrackingNo" r:id="rId1"/>
  </customPropertie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4"/>
  <dimension ref="A1:AI26"/>
  <sheetViews>
    <sheetView topLeftCell="M1" zoomScale="90" workbookViewId="0">
      <selection activeCell="D2" sqref="D2"/>
    </sheetView>
  </sheetViews>
  <sheetFormatPr defaultRowHeight="15"/>
  <cols>
    <col min="1" max="1" width="30.5546875" bestFit="1" customWidth="1"/>
    <col min="2" max="2" width="10" bestFit="1" customWidth="1"/>
    <col min="3" max="4" width="4.77734375" customWidth="1"/>
    <col min="5" max="5" width="8" bestFit="1" customWidth="1"/>
    <col min="6" max="9" width="6" bestFit="1" customWidth="1"/>
    <col min="10" max="10" width="7" bestFit="1" customWidth="1"/>
    <col min="11" max="11" width="7" customWidth="1"/>
  </cols>
  <sheetData>
    <row r="1" spans="1:35">
      <c r="A1" s="220" t="s">
        <v>1308</v>
      </c>
      <c r="B1" s="220" t="s">
        <v>1223</v>
      </c>
      <c r="C1" s="220">
        <f>VLOOKUP('J1 Form'!F50,Infil!A5:B9,2,FALSE)</f>
        <v>3</v>
      </c>
      <c r="D1" s="224">
        <f>VLOOKUP('J1 Form'!F50,Infil!A5:B9,2,FALSE)</f>
        <v>3</v>
      </c>
      <c r="F1" s="225">
        <v>1</v>
      </c>
      <c r="G1" s="225">
        <v>2</v>
      </c>
      <c r="H1" s="225">
        <v>3</v>
      </c>
      <c r="I1" s="225">
        <v>4</v>
      </c>
      <c r="J1" s="225">
        <v>5</v>
      </c>
      <c r="M1" s="205" t="s">
        <v>2334</v>
      </c>
      <c r="N1" s="206"/>
      <c r="O1" s="206"/>
      <c r="P1" s="206"/>
      <c r="Q1" s="206"/>
      <c r="R1" s="206"/>
      <c r="S1" s="206"/>
      <c r="T1" s="206"/>
      <c r="U1" s="206"/>
      <c r="V1" s="206"/>
      <c r="W1" s="206"/>
      <c r="X1" s="206"/>
      <c r="Y1" s="207"/>
      <c r="AA1" s="193" t="s">
        <v>2417</v>
      </c>
      <c r="AB1" s="194"/>
      <c r="AC1" s="194"/>
      <c r="AD1" s="194"/>
      <c r="AE1" s="194"/>
      <c r="AF1" s="194"/>
      <c r="AG1" s="194"/>
      <c r="AH1" s="194"/>
      <c r="AI1" s="195"/>
    </row>
    <row r="2" spans="1:35">
      <c r="A2" s="220" t="s">
        <v>1308</v>
      </c>
      <c r="B2" s="220" t="s">
        <v>1224</v>
      </c>
      <c r="C2" s="220">
        <f>VLOOKUP('J1 Form'!H50,Infil!A17:B21,2)</f>
        <v>4</v>
      </c>
      <c r="D2" s="224">
        <f>VLOOKUP(P3,Infil!A17:B21,2)</f>
        <v>4</v>
      </c>
      <c r="F2" s="225">
        <v>900</v>
      </c>
      <c r="G2" s="225">
        <v>1500</v>
      </c>
      <c r="H2" s="225">
        <v>2000</v>
      </c>
      <c r="I2" s="225">
        <v>3000</v>
      </c>
      <c r="J2" s="225">
        <v>3001</v>
      </c>
      <c r="K2" s="225" t="s">
        <v>1313</v>
      </c>
      <c r="M2" s="201" t="s">
        <v>2317</v>
      </c>
      <c r="O2" s="152"/>
      <c r="P2" s="170" t="s">
        <v>1187</v>
      </c>
      <c r="Q2" s="171" t="s">
        <v>1197</v>
      </c>
      <c r="R2" s="144"/>
      <c r="S2" s="146" t="s">
        <v>2336</v>
      </c>
      <c r="T2" s="146" t="s">
        <v>2335</v>
      </c>
      <c r="U2" s="172" t="s">
        <v>2337</v>
      </c>
      <c r="V2" s="143" t="s">
        <v>1198</v>
      </c>
      <c r="W2" s="170" t="s">
        <v>1358</v>
      </c>
      <c r="X2" s="170" t="s">
        <v>2295</v>
      </c>
      <c r="Y2" s="208" t="s">
        <v>1200</v>
      </c>
      <c r="AA2" s="196" t="s">
        <v>2317</v>
      </c>
      <c r="AB2" s="142"/>
      <c r="AC2" s="186"/>
      <c r="AD2" s="143" t="s">
        <v>1187</v>
      </c>
      <c r="AE2" s="187" t="s">
        <v>1197</v>
      </c>
      <c r="AF2" s="188" t="s">
        <v>1198</v>
      </c>
      <c r="AG2" s="143" t="s">
        <v>1358</v>
      </c>
      <c r="AH2" s="143" t="s">
        <v>2295</v>
      </c>
      <c r="AI2" s="197" t="s">
        <v>1200</v>
      </c>
    </row>
    <row r="3" spans="1:35">
      <c r="A3" s="220" t="s">
        <v>1309</v>
      </c>
      <c r="B3" s="220" t="s">
        <v>1223</v>
      </c>
      <c r="C3" s="220">
        <f>VLOOKUP('J1 Form'!F51,Infil!A11:B15,2)</f>
        <v>0</v>
      </c>
      <c r="E3" s="221">
        <v>1</v>
      </c>
      <c r="F3" s="221">
        <v>0.21</v>
      </c>
      <c r="G3" s="221">
        <v>0.16</v>
      </c>
      <c r="H3" s="221">
        <v>0.14000000000000001</v>
      </c>
      <c r="I3" s="221">
        <v>0.11</v>
      </c>
      <c r="J3" s="221">
        <v>0.1</v>
      </c>
      <c r="K3" s="221">
        <v>0</v>
      </c>
      <c r="M3" s="198"/>
      <c r="O3" s="153" t="s">
        <v>2338</v>
      </c>
      <c r="P3" s="173">
        <f>'J1 Form'!H50</f>
        <v>2785.77</v>
      </c>
      <c r="Q3" s="173">
        <f>P3</f>
        <v>2785.77</v>
      </c>
      <c r="R3" s="146"/>
      <c r="S3" s="170" t="s">
        <v>2339</v>
      </c>
      <c r="T3" s="170" t="s">
        <v>2340</v>
      </c>
      <c r="U3" s="171" t="s">
        <v>2341</v>
      </c>
      <c r="V3" s="147">
        <f>'J1 Form'!K4</f>
        <v>79</v>
      </c>
      <c r="W3" s="147">
        <f>'J1 Form'!K5</f>
        <v>9</v>
      </c>
      <c r="X3" s="147">
        <f>'J1 Form'!H6</f>
        <v>19</v>
      </c>
      <c r="Y3" s="240">
        <f>'J1 Form'!K7</f>
        <v>0.97</v>
      </c>
      <c r="AA3" s="198"/>
      <c r="AC3" s="153" t="s">
        <v>2418</v>
      </c>
      <c r="AD3" s="145">
        <f>'J1 Form'!K50</f>
        <v>13418.61</v>
      </c>
      <c r="AE3" s="173">
        <f>'J1 Form'!K51</f>
        <v>0</v>
      </c>
      <c r="AF3" s="189">
        <f>'J1 Form'!K4</f>
        <v>79</v>
      </c>
      <c r="AG3" s="147">
        <f>'J1 Form'!K5</f>
        <v>9</v>
      </c>
      <c r="AH3" s="147">
        <f>'J1 Form'!H6</f>
        <v>19</v>
      </c>
      <c r="AI3" s="209">
        <f>'J1 Form'!K7</f>
        <v>0.97</v>
      </c>
    </row>
    <row r="4" spans="1:35">
      <c r="A4" s="220" t="s">
        <v>1309</v>
      </c>
      <c r="B4" s="220" t="s">
        <v>1224</v>
      </c>
      <c r="C4" s="220">
        <v>7</v>
      </c>
      <c r="E4" s="221">
        <v>2</v>
      </c>
      <c r="F4" s="221">
        <v>0.41</v>
      </c>
      <c r="G4" s="221">
        <v>0.31</v>
      </c>
      <c r="H4" s="221">
        <v>0.26</v>
      </c>
      <c r="I4" s="221">
        <v>0.22</v>
      </c>
      <c r="J4" s="221">
        <v>0.19</v>
      </c>
      <c r="K4" s="221">
        <v>13</v>
      </c>
      <c r="M4" s="198"/>
      <c r="O4" s="153" t="s">
        <v>2342</v>
      </c>
      <c r="P4" s="173">
        <f>'J1 Form'!K50</f>
        <v>13418.61</v>
      </c>
      <c r="Q4" s="173">
        <f>P4</f>
        <v>13418.61</v>
      </c>
      <c r="R4" s="227"/>
      <c r="S4" s="174">
        <f>'J1 Form'!K53</f>
        <v>3</v>
      </c>
      <c r="T4" s="145">
        <f>VLOOKUP('J1 Form'!F51,Infil!A11:B14,2)</f>
        <v>0</v>
      </c>
      <c r="U4" s="173">
        <f>U5+U6</f>
        <v>0</v>
      </c>
      <c r="V4" s="151" t="s">
        <v>2343</v>
      </c>
      <c r="X4" s="152"/>
      <c r="Y4" s="210"/>
      <c r="AA4" s="198"/>
      <c r="AI4" s="199"/>
    </row>
    <row r="5" spans="1:35">
      <c r="A5" s="222" t="s">
        <v>2406</v>
      </c>
      <c r="B5" s="222">
        <v>1</v>
      </c>
      <c r="E5" s="221">
        <v>3</v>
      </c>
      <c r="F5" s="221">
        <v>0.61</v>
      </c>
      <c r="G5" s="221">
        <v>0.45</v>
      </c>
      <c r="H5" s="221">
        <v>0.38</v>
      </c>
      <c r="I5" s="221">
        <v>0.32</v>
      </c>
      <c r="J5" s="221">
        <v>0.28000000000000003</v>
      </c>
      <c r="K5" s="221">
        <v>20</v>
      </c>
      <c r="M5" s="201" t="s">
        <v>2344</v>
      </c>
      <c r="N5" s="152"/>
      <c r="O5" s="152"/>
      <c r="P5" s="152"/>
      <c r="Q5" s="152"/>
      <c r="R5" s="152"/>
      <c r="S5" s="152"/>
      <c r="T5" s="152"/>
      <c r="U5" s="152">
        <f>IF('J1 Form'!BG59=TRUE,100000,0)</f>
        <v>0</v>
      </c>
      <c r="V5" s="152"/>
      <c r="W5" s="152"/>
      <c r="X5" s="175" t="s">
        <v>1187</v>
      </c>
      <c r="Y5" s="211" t="s">
        <v>1197</v>
      </c>
      <c r="AA5" s="201" t="s">
        <v>2419</v>
      </c>
      <c r="AB5" s="152"/>
      <c r="AC5" s="152"/>
      <c r="AD5" s="152"/>
      <c r="AE5" s="152"/>
      <c r="AF5" s="152"/>
      <c r="AG5" s="152"/>
      <c r="AH5" s="152"/>
      <c r="AI5" s="210"/>
    </row>
    <row r="6" spans="1:35">
      <c r="A6" s="222" t="s">
        <v>2407</v>
      </c>
      <c r="B6" s="222">
        <v>2</v>
      </c>
      <c r="E6" s="221">
        <v>4</v>
      </c>
      <c r="F6" s="221">
        <v>0.95</v>
      </c>
      <c r="G6" s="221">
        <v>0.7</v>
      </c>
      <c r="H6" s="221">
        <v>0.59</v>
      </c>
      <c r="I6" s="221">
        <v>0.49</v>
      </c>
      <c r="J6" s="221">
        <v>0.43</v>
      </c>
      <c r="K6" s="221">
        <v>27</v>
      </c>
      <c r="M6" s="212" t="s">
        <v>2345</v>
      </c>
      <c r="O6" s="152"/>
      <c r="P6" s="152"/>
      <c r="Q6" s="152"/>
      <c r="U6" s="152">
        <f>IF('J1 Form'!BH59=TRUE,30000,0)</f>
        <v>0</v>
      </c>
      <c r="W6" s="153" t="s">
        <v>2346</v>
      </c>
      <c r="X6" s="155">
        <f>0.35*P4/60</f>
        <v>78.275225000000006</v>
      </c>
      <c r="Y6" s="213">
        <f>0.35*Q4/60</f>
        <v>78.275225000000006</v>
      </c>
      <c r="AA6" s="198"/>
      <c r="AC6" s="153" t="s">
        <v>2420</v>
      </c>
      <c r="AD6" s="150">
        <f>'J1 Form'!F59</f>
        <v>0</v>
      </c>
      <c r="AE6" s="190"/>
      <c r="AG6" s="153" t="s">
        <v>2421</v>
      </c>
      <c r="AH6" s="156">
        <f>'J1 Form'!H59</f>
        <v>0</v>
      </c>
      <c r="AI6" s="210"/>
    </row>
    <row r="7" spans="1:35">
      <c r="A7" s="222" t="s">
        <v>2356</v>
      </c>
      <c r="B7" s="222">
        <v>3</v>
      </c>
      <c r="E7" s="221">
        <v>5</v>
      </c>
      <c r="F7" s="221">
        <v>1.29</v>
      </c>
      <c r="G7" s="221">
        <v>0.94</v>
      </c>
      <c r="H7" s="221">
        <v>0.8</v>
      </c>
      <c r="I7" s="221">
        <v>0.66</v>
      </c>
      <c r="J7" s="221">
        <v>0.57999999999999996</v>
      </c>
      <c r="K7" s="221">
        <v>33</v>
      </c>
      <c r="M7" s="212" t="s">
        <v>2347</v>
      </c>
      <c r="O7" s="152"/>
      <c r="P7" s="152"/>
      <c r="Q7" s="152"/>
      <c r="W7" s="153" t="s">
        <v>2348</v>
      </c>
      <c r="X7" s="1030">
        <f>20*S4</f>
        <v>60</v>
      </c>
      <c r="Y7" s="1031"/>
      <c r="AA7" s="201"/>
      <c r="AC7" s="153" t="s">
        <v>2422</v>
      </c>
      <c r="AD7" s="145">
        <f>MAX(AD3:AE3)</f>
        <v>13418.61</v>
      </c>
      <c r="AE7" s="152"/>
      <c r="AF7" s="152"/>
      <c r="AG7" s="152"/>
      <c r="AH7" s="152"/>
      <c r="AI7" s="210"/>
    </row>
    <row r="8" spans="1:35">
      <c r="A8" s="222" t="s">
        <v>2408</v>
      </c>
      <c r="B8" s="222">
        <v>4</v>
      </c>
      <c r="E8" s="223">
        <v>1</v>
      </c>
      <c r="F8" s="223">
        <v>0.11</v>
      </c>
      <c r="G8" s="223">
        <v>0.08</v>
      </c>
      <c r="H8" s="223">
        <v>7.0000000000000007E-2</v>
      </c>
      <c r="I8" s="223">
        <v>0.06</v>
      </c>
      <c r="J8" s="223">
        <v>0.05</v>
      </c>
      <c r="K8" s="223">
        <v>0</v>
      </c>
      <c r="M8" s="212" t="s">
        <v>2349</v>
      </c>
      <c r="O8" s="152"/>
      <c r="P8" s="152"/>
      <c r="Q8" s="152"/>
      <c r="R8" s="152"/>
      <c r="S8" s="152"/>
      <c r="T8" s="152"/>
      <c r="U8" s="152"/>
      <c r="W8" s="153" t="s">
        <v>2350</v>
      </c>
      <c r="X8" s="1030">
        <f>0.5*U4/1000</f>
        <v>0</v>
      </c>
      <c r="Y8" s="1034"/>
      <c r="AA8" s="201"/>
      <c r="AB8" s="152"/>
      <c r="AC8" s="153" t="s">
        <v>2423</v>
      </c>
      <c r="AD8" s="156">
        <f>AD6*AD7/60</f>
        <v>0</v>
      </c>
      <c r="AE8" s="152" t="s">
        <v>2424</v>
      </c>
      <c r="AF8" s="152"/>
      <c r="AG8" s="152"/>
      <c r="AH8" s="152"/>
      <c r="AI8" s="210"/>
    </row>
    <row r="9" spans="1:35">
      <c r="A9" s="222" t="s">
        <v>2409</v>
      </c>
      <c r="B9" s="222">
        <v>5</v>
      </c>
      <c r="E9" s="223">
        <v>2</v>
      </c>
      <c r="F9" s="223">
        <v>0.22</v>
      </c>
      <c r="G9" s="223">
        <v>0.16</v>
      </c>
      <c r="H9" s="223">
        <v>0.14000000000000001</v>
      </c>
      <c r="I9" s="223">
        <v>0.11</v>
      </c>
      <c r="J9" s="223">
        <v>0.1</v>
      </c>
      <c r="K9" s="223">
        <v>0</v>
      </c>
      <c r="M9" s="212" t="s">
        <v>2351</v>
      </c>
      <c r="O9" s="152"/>
      <c r="P9" s="152"/>
      <c r="Q9" s="152"/>
      <c r="R9" s="152"/>
      <c r="S9" s="152"/>
      <c r="T9" s="152"/>
      <c r="U9" s="152"/>
      <c r="V9" s="152"/>
      <c r="W9" s="153" t="s">
        <v>2352</v>
      </c>
      <c r="X9" s="1032">
        <f>MAX(Y6,X7,X8)</f>
        <v>78.275225000000006</v>
      </c>
      <c r="Y9" s="1033"/>
      <c r="AA9" s="198"/>
      <c r="AC9" s="153" t="s">
        <v>2425</v>
      </c>
      <c r="AD9" s="156">
        <f>MAX(AD8,AH6)</f>
        <v>0</v>
      </c>
      <c r="AE9" s="152" t="s">
        <v>2426</v>
      </c>
      <c r="AF9" s="152"/>
      <c r="AG9" s="152"/>
      <c r="AH9" s="152"/>
      <c r="AI9" s="210"/>
    </row>
    <row r="10" spans="1:35">
      <c r="A10" s="226"/>
      <c r="B10" s="226"/>
      <c r="E10" s="223">
        <v>3</v>
      </c>
      <c r="F10" s="223">
        <v>0.32</v>
      </c>
      <c r="G10" s="223">
        <v>0.23</v>
      </c>
      <c r="H10" s="223">
        <v>0.2</v>
      </c>
      <c r="I10" s="223">
        <v>0.16</v>
      </c>
      <c r="J10" s="223">
        <v>0.15</v>
      </c>
      <c r="K10" s="223">
        <v>0</v>
      </c>
      <c r="M10" s="201" t="s">
        <v>2353</v>
      </c>
      <c r="N10" s="152"/>
      <c r="O10" s="152"/>
      <c r="P10" s="152"/>
      <c r="Q10" s="152"/>
      <c r="R10" s="152"/>
      <c r="S10" s="152"/>
      <c r="T10" s="152"/>
      <c r="U10" s="152"/>
      <c r="V10" s="152"/>
      <c r="Y10" s="200"/>
      <c r="AA10" s="228"/>
      <c r="AB10" s="178" t="s">
        <v>2427</v>
      </c>
      <c r="AH10" s="152"/>
      <c r="AI10" s="210"/>
    </row>
    <row r="11" spans="1:35">
      <c r="A11" s="222">
        <v>0</v>
      </c>
      <c r="B11" s="222">
        <v>0</v>
      </c>
      <c r="C11" s="3"/>
      <c r="D11" s="148"/>
      <c r="E11" s="223">
        <v>4</v>
      </c>
      <c r="F11" s="223">
        <v>0.5</v>
      </c>
      <c r="G11" s="223">
        <v>0.36</v>
      </c>
      <c r="H11" s="223">
        <v>0.31</v>
      </c>
      <c r="I11" s="223">
        <v>0.25</v>
      </c>
      <c r="J11" s="223">
        <v>0.23</v>
      </c>
      <c r="K11" s="223">
        <v>0</v>
      </c>
      <c r="M11" s="212" t="s">
        <v>2354</v>
      </c>
      <c r="O11" s="152"/>
      <c r="P11" s="152"/>
      <c r="R11" s="153" t="s">
        <v>2355</v>
      </c>
      <c r="S11" s="156" t="str">
        <f>'J1 Form'!F50</f>
        <v>Average</v>
      </c>
      <c r="U11" s="153" t="s">
        <v>2451</v>
      </c>
      <c r="V11" s="156">
        <f>VLOOKUP(D1,E3:K7,7)</f>
        <v>20</v>
      </c>
      <c r="Y11" s="200"/>
      <c r="AA11" s="228" t="s">
        <v>2455</v>
      </c>
      <c r="AB11" s="178" t="s">
        <v>2428</v>
      </c>
      <c r="AH11" s="152"/>
      <c r="AI11" s="210"/>
    </row>
    <row r="12" spans="1:35">
      <c r="A12" s="222">
        <v>1</v>
      </c>
      <c r="B12" s="222">
        <v>1</v>
      </c>
      <c r="E12" s="223">
        <v>5</v>
      </c>
      <c r="F12" s="223">
        <v>0.67</v>
      </c>
      <c r="G12" s="223">
        <v>0.49</v>
      </c>
      <c r="H12" s="223">
        <v>0.42</v>
      </c>
      <c r="I12" s="223">
        <v>0.34</v>
      </c>
      <c r="J12" s="223">
        <v>0.3</v>
      </c>
      <c r="K12" s="223">
        <v>0</v>
      </c>
      <c r="M12" s="212" t="s">
        <v>2357</v>
      </c>
      <c r="R12" s="153" t="s">
        <v>2358</v>
      </c>
      <c r="S12" s="154">
        <f>VLOOKUP(D1,E3:K7,(D2+1))</f>
        <v>0.32</v>
      </c>
      <c r="U12" s="153" t="s">
        <v>2452</v>
      </c>
      <c r="V12" s="156">
        <f>V11*T4</f>
        <v>0</v>
      </c>
      <c r="X12" s="176"/>
      <c r="Y12" s="202"/>
      <c r="AA12" s="212" t="s">
        <v>2429</v>
      </c>
      <c r="AD12" s="153"/>
      <c r="AF12" s="156">
        <f>MIN(X14,Y15)</f>
        <v>35.782960000000003</v>
      </c>
      <c r="AH12" s="152"/>
      <c r="AI12" s="210"/>
    </row>
    <row r="13" spans="1:35">
      <c r="A13" s="222">
        <v>2</v>
      </c>
      <c r="B13" s="222">
        <v>2</v>
      </c>
      <c r="M13" s="212" t="s">
        <v>2364</v>
      </c>
      <c r="R13" s="153" t="s">
        <v>2365</v>
      </c>
      <c r="S13" s="154">
        <f>VLOOKUP(D1,E8:K12,D2+1)</f>
        <v>0.16</v>
      </c>
      <c r="X13" s="175" t="s">
        <v>1187</v>
      </c>
      <c r="Y13" s="211" t="s">
        <v>1197</v>
      </c>
      <c r="AA13" s="212" t="s">
        <v>2430</v>
      </c>
      <c r="AC13" s="156">
        <f>IF(AA11="Y",AD9,IF(AA10="Y",AD9-AF12,0))</f>
        <v>0</v>
      </c>
      <c r="AD13" s="152" t="s">
        <v>2431</v>
      </c>
      <c r="AH13" s="152"/>
      <c r="AI13" s="210"/>
    </row>
    <row r="14" spans="1:35">
      <c r="A14" s="222" t="s">
        <v>2410</v>
      </c>
      <c r="B14" s="222">
        <v>3</v>
      </c>
      <c r="M14" s="212" t="s">
        <v>2366</v>
      </c>
      <c r="O14" s="152"/>
      <c r="P14" s="152"/>
      <c r="R14" s="152"/>
      <c r="S14" s="152"/>
      <c r="T14" s="152"/>
      <c r="U14" s="152"/>
      <c r="V14" s="152"/>
      <c r="W14" s="153" t="s">
        <v>2367</v>
      </c>
      <c r="X14" s="155">
        <f>S12*P4/60+V12</f>
        <v>71.565920000000006</v>
      </c>
      <c r="Y14" s="214"/>
      <c r="AA14" s="198"/>
      <c r="AI14" s="200"/>
    </row>
    <row r="15" spans="1:35">
      <c r="M15" s="212" t="s">
        <v>2368</v>
      </c>
      <c r="N15" s="152"/>
      <c r="O15" s="152"/>
      <c r="P15" s="152"/>
      <c r="Q15" s="152"/>
      <c r="R15" s="152"/>
      <c r="S15" s="152"/>
      <c r="T15" s="152"/>
      <c r="U15" s="152"/>
      <c r="V15" s="152"/>
      <c r="W15" s="153" t="s">
        <v>2382</v>
      </c>
      <c r="X15" s="177"/>
      <c r="Y15" s="213">
        <f>S13*Q4/60</f>
        <v>35.782960000000003</v>
      </c>
      <c r="AA15" s="201" t="s">
        <v>2432</v>
      </c>
      <c r="AD15" s="152"/>
      <c r="AE15" s="152"/>
      <c r="AF15" s="152"/>
      <c r="AG15" s="152"/>
      <c r="AH15" s="152"/>
      <c r="AI15" s="210"/>
    </row>
    <row r="16" spans="1:35">
      <c r="A16" s="222" t="s">
        <v>1310</v>
      </c>
      <c r="B16" s="222" t="s">
        <v>1224</v>
      </c>
      <c r="M16" s="212" t="s">
        <v>2383</v>
      </c>
      <c r="N16" s="152"/>
      <c r="O16" s="152"/>
      <c r="P16" s="152"/>
      <c r="Q16" s="192" t="s">
        <v>2384</v>
      </c>
      <c r="R16" s="155">
        <f>1.1*Y3*X14*V3</f>
        <v>6032.5060945599998</v>
      </c>
      <c r="S16" s="178" t="s">
        <v>2385</v>
      </c>
      <c r="T16" s="152"/>
      <c r="W16" s="152"/>
      <c r="X16" s="152"/>
      <c r="Y16" s="200"/>
      <c r="AA16" s="198"/>
      <c r="AB16" s="152"/>
      <c r="AC16" s="152"/>
      <c r="AD16" s="149" t="s">
        <v>2433</v>
      </c>
      <c r="AE16" s="155">
        <f>Q21</f>
        <v>42.492265000000003</v>
      </c>
      <c r="AF16" s="152"/>
      <c r="AG16" s="152"/>
      <c r="AH16" s="152"/>
      <c r="AI16" s="210"/>
    </row>
    <row r="17" spans="1:35">
      <c r="A17" s="222">
        <v>0</v>
      </c>
      <c r="B17" s="222">
        <v>1</v>
      </c>
      <c r="M17" s="212" t="s">
        <v>2386</v>
      </c>
      <c r="N17" s="152"/>
      <c r="O17" s="152"/>
      <c r="P17" s="152"/>
      <c r="Q17" s="192" t="s">
        <v>2384</v>
      </c>
      <c r="R17" s="155">
        <f>1.1*Y3*Y15*W3</f>
        <v>343.62376488000001</v>
      </c>
      <c r="S17" s="178" t="s">
        <v>2387</v>
      </c>
      <c r="T17" s="152"/>
      <c r="Y17" s="200"/>
      <c r="AA17" s="212" t="s">
        <v>2434</v>
      </c>
      <c r="AB17" s="152"/>
      <c r="AD17" s="156">
        <f>IF(AC13&gt;50,50,AC13)</f>
        <v>0</v>
      </c>
      <c r="AE17" s="191" t="s">
        <v>2313</v>
      </c>
      <c r="AF17" s="152" t="s">
        <v>2435</v>
      </c>
      <c r="AI17" s="210"/>
    </row>
    <row r="18" spans="1:35">
      <c r="A18" s="222">
        <v>901</v>
      </c>
      <c r="B18" s="222">
        <v>2</v>
      </c>
      <c r="M18" s="212" t="s">
        <v>2388</v>
      </c>
      <c r="N18" s="152"/>
      <c r="O18" s="152"/>
      <c r="P18" s="152"/>
      <c r="Q18" s="192" t="s">
        <v>2389</v>
      </c>
      <c r="R18" s="155">
        <f>0.68*Y3*Y15*X3</f>
        <v>448.44636790400006</v>
      </c>
      <c r="S18" s="178" t="s">
        <v>2390</v>
      </c>
      <c r="T18" s="152"/>
      <c r="Y18" s="200"/>
      <c r="AA18" s="229" t="s">
        <v>2436</v>
      </c>
      <c r="AB18" s="152"/>
      <c r="AC18" s="152"/>
      <c r="AD18" s="152"/>
      <c r="AE18" s="152"/>
      <c r="AF18" s="152"/>
      <c r="AG18" s="152"/>
      <c r="AH18" s="152"/>
      <c r="AI18" s="210"/>
    </row>
    <row r="19" spans="1:35">
      <c r="A19" s="222">
        <v>1501</v>
      </c>
      <c r="B19" s="222">
        <v>3</v>
      </c>
      <c r="M19" s="201" t="s">
        <v>2398</v>
      </c>
      <c r="N19" s="152"/>
      <c r="O19" s="152"/>
      <c r="P19" s="152"/>
      <c r="Q19" s="152"/>
      <c r="R19" s="152"/>
      <c r="S19" s="152"/>
      <c r="T19" s="152"/>
      <c r="U19" s="152"/>
      <c r="V19" s="152"/>
      <c r="W19" s="152"/>
      <c r="X19" s="152"/>
      <c r="Y19" s="200"/>
      <c r="AA19" s="229" t="s">
        <v>2437</v>
      </c>
      <c r="AB19" s="152"/>
      <c r="AC19" s="152"/>
      <c r="AD19" s="152"/>
      <c r="AE19" s="152"/>
      <c r="AF19" s="152"/>
      <c r="AG19" s="152"/>
      <c r="AH19" s="152"/>
      <c r="AI19" s="210"/>
    </row>
    <row r="20" spans="1:35">
      <c r="A20" s="222">
        <v>2001</v>
      </c>
      <c r="B20" s="222">
        <v>4</v>
      </c>
      <c r="M20" s="212" t="s">
        <v>2399</v>
      </c>
      <c r="N20" s="152"/>
      <c r="O20" s="152"/>
      <c r="P20" s="152"/>
      <c r="Q20" s="152"/>
      <c r="R20" s="179"/>
      <c r="S20" s="152"/>
      <c r="T20" s="180" t="s">
        <v>2400</v>
      </c>
      <c r="U20" s="155">
        <f>X9-X14</f>
        <v>6.7093050000000005</v>
      </c>
      <c r="V20" s="181"/>
      <c r="W20" s="152"/>
      <c r="X20" s="180" t="s">
        <v>2401</v>
      </c>
      <c r="Y20" s="213">
        <f>X9-Y15</f>
        <v>42.492265000000003</v>
      </c>
      <c r="AA20" s="229" t="s">
        <v>2438</v>
      </c>
      <c r="AB20" s="152"/>
      <c r="AC20" s="152"/>
      <c r="AD20" s="152"/>
      <c r="AE20" s="152"/>
      <c r="AF20" s="152"/>
      <c r="AG20" s="152"/>
      <c r="AH20" s="152"/>
      <c r="AI20" s="210"/>
    </row>
    <row r="21" spans="1:35" ht="15.75" thickBot="1">
      <c r="A21" s="222">
        <v>3001</v>
      </c>
      <c r="B21" s="222">
        <v>5</v>
      </c>
      <c r="M21" s="215" t="s">
        <v>2402</v>
      </c>
      <c r="N21" s="216"/>
      <c r="O21" s="216"/>
      <c r="P21" s="216"/>
      <c r="Q21" s="217">
        <f>MAX(U20,Y20)</f>
        <v>42.492265000000003</v>
      </c>
      <c r="R21" s="218" t="s">
        <v>2403</v>
      </c>
      <c r="S21" s="216"/>
      <c r="T21" s="216"/>
      <c r="U21" s="216"/>
      <c r="V21" s="216"/>
      <c r="W21" s="216"/>
      <c r="X21" s="216"/>
      <c r="Y21" s="219"/>
      <c r="AA21" s="198"/>
      <c r="AI21" s="200"/>
    </row>
    <row r="22" spans="1:35">
      <c r="AA22" s="201" t="s">
        <v>2439</v>
      </c>
      <c r="AF22" s="152"/>
      <c r="AG22" s="152"/>
      <c r="AH22" s="152"/>
      <c r="AI22" s="210"/>
    </row>
    <row r="23" spans="1:35">
      <c r="P23" t="s">
        <v>1303</v>
      </c>
      <c r="Q23" s="268">
        <v>0</v>
      </c>
      <c r="AA23" s="212" t="s">
        <v>2440</v>
      </c>
      <c r="AB23" s="152"/>
      <c r="AC23" s="152"/>
      <c r="AD23" s="152"/>
      <c r="AE23" s="192" t="s">
        <v>2384</v>
      </c>
      <c r="AF23" s="155">
        <v>0</v>
      </c>
      <c r="AG23" s="178" t="s">
        <v>2441</v>
      </c>
      <c r="AI23" s="200"/>
    </row>
    <row r="24" spans="1:35">
      <c r="P24" t="s">
        <v>2474</v>
      </c>
      <c r="Q24" s="268">
        <f>Q21</f>
        <v>42.492265000000003</v>
      </c>
      <c r="AA24" s="212" t="s">
        <v>2442</v>
      </c>
      <c r="AB24" s="152"/>
      <c r="AC24" s="152"/>
      <c r="AD24" s="152"/>
      <c r="AE24" s="192" t="s">
        <v>2384</v>
      </c>
      <c r="AF24" s="155">
        <v>0</v>
      </c>
      <c r="AG24" s="178" t="s">
        <v>2443</v>
      </c>
      <c r="AI24" s="200"/>
    </row>
    <row r="25" spans="1:35" ht="15.75" thickBot="1">
      <c r="P25" t="s">
        <v>2473</v>
      </c>
      <c r="Q25" s="268">
        <v>25</v>
      </c>
      <c r="AA25" s="215" t="s">
        <v>2444</v>
      </c>
      <c r="AB25" s="216"/>
      <c r="AC25" s="216"/>
      <c r="AD25" s="216"/>
      <c r="AE25" s="230" t="s">
        <v>2384</v>
      </c>
      <c r="AF25" s="203">
        <v>0</v>
      </c>
      <c r="AG25" s="231" t="s">
        <v>2445</v>
      </c>
      <c r="AH25" s="232"/>
      <c r="AI25" s="219"/>
    </row>
    <row r="26" spans="1:35">
      <c r="P26" t="s">
        <v>2475</v>
      </c>
      <c r="Q26" s="268">
        <v>50</v>
      </c>
    </row>
  </sheetData>
  <mergeCells count="3">
    <mergeCell ref="X7:Y7"/>
    <mergeCell ref="X9:Y9"/>
    <mergeCell ref="X8:Y8"/>
  </mergeCells>
  <phoneticPr fontId="25" type="noConversion"/>
  <pageMargins left="0.75" right="0.75" top="1" bottom="1" header="0.5" footer="0.5"/>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5"/>
  <dimension ref="A1:BE73"/>
  <sheetViews>
    <sheetView topLeftCell="AL8" zoomScale="75" workbookViewId="0">
      <selection activeCell="AX43" sqref="AX43"/>
    </sheetView>
  </sheetViews>
  <sheetFormatPr defaultColWidth="8.88671875" defaultRowHeight="12.75"/>
  <cols>
    <col min="1" max="1" width="40.77734375" style="304" customWidth="1"/>
    <col min="2" max="2" width="6.44140625" style="325" bestFit="1" customWidth="1"/>
    <col min="3" max="3" width="6.88671875" style="309" bestFit="1" customWidth="1"/>
    <col min="4" max="4" width="4.44140625" style="325" bestFit="1" customWidth="1"/>
    <col min="5" max="5" width="2.77734375" style="304" customWidth="1"/>
    <col min="6" max="6" width="4.88671875" style="309" bestFit="1" customWidth="1"/>
    <col min="7" max="7" width="4" style="304" bestFit="1" customWidth="1"/>
    <col min="8" max="8" width="3.77734375" style="304" bestFit="1" customWidth="1"/>
    <col min="9" max="10" width="5.109375" style="304" bestFit="1" customWidth="1"/>
    <col min="11" max="13" width="5.44140625" style="304" bestFit="1" customWidth="1"/>
    <col min="14" max="14" width="6" style="304" bestFit="1" customWidth="1"/>
    <col min="15" max="16" width="5.88671875" style="304" bestFit="1" customWidth="1"/>
    <col min="17" max="17" width="5" style="304" bestFit="1" customWidth="1"/>
    <col min="18" max="18" width="2.77734375" style="304" customWidth="1"/>
    <col min="19" max="19" width="15.44140625" style="304" bestFit="1" customWidth="1"/>
    <col min="20" max="23" width="3.5546875" style="304" bestFit="1" customWidth="1"/>
    <col min="24" max="24" width="7.88671875" style="304" bestFit="1" customWidth="1"/>
    <col min="25" max="25" width="4.33203125" style="303" bestFit="1" customWidth="1"/>
    <col min="26" max="26" width="2.77734375" style="303" customWidth="1"/>
    <col min="27" max="27" width="2.44140625" style="304" bestFit="1" customWidth="1"/>
    <col min="28" max="29" width="5.109375" style="304" bestFit="1" customWidth="1"/>
    <col min="30" max="32" width="5.44140625" style="304" bestFit="1" customWidth="1"/>
    <col min="33" max="33" width="2.77734375" style="304" customWidth="1"/>
    <col min="34" max="36" width="7.77734375" style="304" customWidth="1"/>
    <col min="37" max="37" width="27.6640625" style="304" customWidth="1"/>
    <col min="38" max="38" width="13.77734375" style="304" customWidth="1"/>
    <col min="39" max="39" width="8.77734375" style="304" customWidth="1"/>
    <col min="40" max="41" width="2.77734375" style="304" customWidth="1"/>
    <col min="42" max="47" width="10.77734375" style="304" customWidth="1"/>
    <col min="48" max="48" width="2.77734375" style="304" customWidth="1"/>
    <col min="49" max="55" width="8.88671875" style="304"/>
    <col min="56" max="57" width="9.77734375" style="304" customWidth="1"/>
    <col min="58" max="16384" width="8.88671875" style="304"/>
  </cols>
  <sheetData>
    <row r="1" spans="1:57" ht="15.75" customHeight="1">
      <c r="A1" s="1065" t="s">
        <v>2449</v>
      </c>
      <c r="B1" s="1066"/>
      <c r="C1" s="1067"/>
      <c r="D1" s="353" t="s">
        <v>1224</v>
      </c>
      <c r="F1" s="368"/>
      <c r="G1" s="369"/>
      <c r="H1" s="369"/>
      <c r="I1" s="369"/>
      <c r="J1" s="369"/>
      <c r="K1" s="369"/>
      <c r="L1" s="369" t="s">
        <v>2500</v>
      </c>
      <c r="M1" s="369" t="s">
        <v>2500</v>
      </c>
      <c r="N1" s="369" t="s">
        <v>2500</v>
      </c>
      <c r="O1" s="369"/>
      <c r="P1" s="370"/>
      <c r="Q1" s="673"/>
      <c r="AH1" s="1068" t="s">
        <v>2294</v>
      </c>
      <c r="AI1" s="1069"/>
      <c r="AJ1" s="1069"/>
      <c r="AK1" s="1069"/>
      <c r="AL1" s="1069"/>
      <c r="AM1" s="1070"/>
      <c r="AO1" s="306"/>
      <c r="AP1" s="305"/>
      <c r="AQ1" s="305"/>
      <c r="AR1" s="305"/>
      <c r="AS1" s="305"/>
      <c r="AT1" s="305"/>
      <c r="AU1" s="305"/>
      <c r="AV1" s="305"/>
      <c r="AW1" s="305"/>
      <c r="AX1" s="305"/>
      <c r="AY1" s="305"/>
      <c r="AZ1" s="305"/>
      <c r="BA1" s="305"/>
      <c r="BB1" s="305"/>
      <c r="BC1" s="305"/>
      <c r="BD1" s="305"/>
      <c r="BE1" s="307"/>
    </row>
    <row r="2" spans="1:57" ht="13.5" thickBot="1">
      <c r="A2" s="1035" t="s">
        <v>2220</v>
      </c>
      <c r="B2" s="1036"/>
      <c r="C2" s="1037"/>
      <c r="D2" s="354">
        <v>1</v>
      </c>
      <c r="F2" s="371" t="s">
        <v>1329</v>
      </c>
      <c r="G2" s="372" t="s">
        <v>1235</v>
      </c>
      <c r="H2" s="372" t="s">
        <v>1236</v>
      </c>
      <c r="I2" s="372" t="s">
        <v>1208</v>
      </c>
      <c r="J2" s="372" t="s">
        <v>2414</v>
      </c>
      <c r="K2" s="372" t="s">
        <v>2415</v>
      </c>
      <c r="L2" s="372" t="s">
        <v>2501</v>
      </c>
      <c r="M2" s="372" t="s">
        <v>2502</v>
      </c>
      <c r="N2" s="372" t="s">
        <v>2503</v>
      </c>
      <c r="O2" s="372" t="s">
        <v>2414</v>
      </c>
      <c r="P2" s="373" t="s">
        <v>2415</v>
      </c>
      <c r="Q2" s="309"/>
      <c r="AH2" s="378" t="s">
        <v>1204</v>
      </c>
      <c r="AI2" s="402" t="s">
        <v>1205</v>
      </c>
      <c r="AJ2" s="408" t="s">
        <v>1199</v>
      </c>
      <c r="AK2" s="1040" t="s">
        <v>2514</v>
      </c>
      <c r="AL2" s="402" t="s">
        <v>1187</v>
      </c>
      <c r="AM2" s="398">
        <f>'J1 Form'!H50</f>
        <v>2785.77</v>
      </c>
      <c r="AN2" s="309"/>
      <c r="AO2" s="310"/>
      <c r="AP2" s="1071" t="s">
        <v>2477</v>
      </c>
      <c r="AQ2" s="1072"/>
      <c r="AR2" s="1072"/>
      <c r="AS2" s="1072"/>
      <c r="AT2" s="1072"/>
      <c r="AU2" s="1073"/>
      <c r="AW2" s="1082" t="s">
        <v>2478</v>
      </c>
      <c r="AX2" s="1083"/>
      <c r="AY2" s="1083"/>
      <c r="AZ2" s="1083"/>
      <c r="BA2" s="1084"/>
      <c r="BB2" s="1080">
        <f>IF(AS14&gt;2500,2500,SUM(AW3:BA3))</f>
        <v>2500</v>
      </c>
      <c r="BC2" s="308"/>
      <c r="BD2" s="311"/>
      <c r="BE2" s="312"/>
    </row>
    <row r="3" spans="1:57" ht="13.5" thickBot="1">
      <c r="A3" s="1035" t="s">
        <v>2221</v>
      </c>
      <c r="B3" s="1036"/>
      <c r="C3" s="1037"/>
      <c r="D3" s="354">
        <v>2</v>
      </c>
      <c r="F3" s="349">
        <v>1</v>
      </c>
      <c r="G3" s="300">
        <f>VLOOKUP('J1 Form'!$G$57,Ducts!S10:W14,(Ducts!$D$14+1))</f>
        <v>1</v>
      </c>
      <c r="H3" s="300">
        <f>VLOOKUP('J1 Form'!$G$57,Ducts!S16:W20,(Ducts!$D$14+1))</f>
        <v>1</v>
      </c>
      <c r="I3" s="300">
        <f>VLOOKUP('J1 Form'!$G$57,Ducts!S16:X20,6)</f>
        <v>1</v>
      </c>
      <c r="J3" s="326">
        <f>VLOOKUP('J1 Form'!$G$57,Ducts!$S$10:$X$14,6)</f>
        <v>0.77100000000000002</v>
      </c>
      <c r="K3" s="348">
        <f>VLOOKUP('J1 Form'!$G$57,Ducts!$S$10:$Y$14,7)</f>
        <v>0.22900000000000001</v>
      </c>
      <c r="L3" s="350">
        <f>VLOOKUP(D8,F3:G6,2)</f>
        <v>1</v>
      </c>
      <c r="M3" s="351">
        <f>VLOOKUP(D8,F3:H6,3)</f>
        <v>1</v>
      </c>
      <c r="N3" s="351">
        <f>VLOOKUP($D$8,$F$3:$I$6,4)</f>
        <v>1</v>
      </c>
      <c r="O3" s="351">
        <f>VLOOKUP($D$8,$F$3:$J$7,5)</f>
        <v>0.82899999999999996</v>
      </c>
      <c r="P3" s="352">
        <f>VLOOKUP($D$8,$F$3:$K$7,6)</f>
        <v>0.17100000000000001</v>
      </c>
      <c r="Q3" s="309"/>
      <c r="Z3" s="304"/>
      <c r="AA3" s="303"/>
      <c r="AH3" s="403">
        <f>'J1 Form'!H4</f>
        <v>-9</v>
      </c>
      <c r="AI3" s="387">
        <f>'J1 Form'!H5</f>
        <v>84</v>
      </c>
      <c r="AJ3" s="404">
        <f>'J1 Form'!H6</f>
        <v>19</v>
      </c>
      <c r="AK3" s="1041"/>
      <c r="AL3" s="402" t="s">
        <v>1197</v>
      </c>
      <c r="AM3" s="398">
        <f>AM2</f>
        <v>2785.77</v>
      </c>
      <c r="AN3" s="313"/>
      <c r="AO3" s="310"/>
      <c r="AP3" s="1077" t="str">
        <f>'J1 Form'!F56</f>
        <v>7F-Ducts in Conditioned Space</v>
      </c>
      <c r="AQ3" s="1078"/>
      <c r="AR3" s="1078"/>
      <c r="AS3" s="1078"/>
      <c r="AT3" s="1078"/>
      <c r="AU3" s="1079"/>
      <c r="AW3" s="278">
        <f>1000*(AS14&lt;1500)</f>
        <v>0</v>
      </c>
      <c r="AX3" s="278">
        <f>1500*(AS14&gt;1499)*(AS14&lt;2000)</f>
        <v>0</v>
      </c>
      <c r="AY3" s="278">
        <f>2000*(AS14&gt;1999)*(AS14&lt;2500)</f>
        <v>0</v>
      </c>
      <c r="AZ3" s="278">
        <f>2500*(AS14&gt;2499)*(AS14&lt;3000)</f>
        <v>2500</v>
      </c>
      <c r="BA3" s="278">
        <f>3000*(AS14&gt;2999)</f>
        <v>0</v>
      </c>
      <c r="BB3" s="1081"/>
      <c r="BD3" s="314"/>
      <c r="BE3" s="312"/>
    </row>
    <row r="4" spans="1:57">
      <c r="A4" s="1035" t="s">
        <v>2219</v>
      </c>
      <c r="B4" s="1036"/>
      <c r="C4" s="1037"/>
      <c r="D4" s="354">
        <v>3</v>
      </c>
      <c r="F4" s="349">
        <v>2</v>
      </c>
      <c r="G4" s="300">
        <f>VLOOKUP('J1 Form'!$G$57,Ducts!$S$23:$W$27,(Ducts!$D$14+1))</f>
        <v>1</v>
      </c>
      <c r="H4" s="300">
        <f>VLOOKUP('J1 Form'!$G$57,Ducts!S29:W33,(Ducts!$D$14+1))</f>
        <v>1</v>
      </c>
      <c r="I4" s="300">
        <f>VLOOKUP('J1 Form'!$G$57,S29:X33,6)</f>
        <v>1</v>
      </c>
      <c r="J4" s="326">
        <f>VLOOKUP('J1 Form'!$G$57,Ducts!$S$23:$X$27,6)</f>
        <v>1</v>
      </c>
      <c r="K4" s="348">
        <f>VLOOKUP('J1 Form'!$G$57,Ducts!$S$23:$Y$27,7)</f>
        <v>0</v>
      </c>
      <c r="L4" s="309"/>
      <c r="M4" s="309"/>
      <c r="N4" s="309"/>
      <c r="O4" s="309"/>
      <c r="P4" s="309"/>
      <c r="Q4" s="309"/>
      <c r="Z4" s="304"/>
      <c r="AA4" s="303"/>
      <c r="AH4" s="1044" t="str">
        <f>'J1 Form'!F56</f>
        <v>7F-Ducts in Conditioned Space</v>
      </c>
      <c r="AI4" s="1045"/>
      <c r="AJ4" s="1045"/>
      <c r="AK4" s="1046"/>
      <c r="AL4" s="385" t="s">
        <v>2296</v>
      </c>
      <c r="AM4" s="287">
        <f>AQ14</f>
        <v>0</v>
      </c>
      <c r="AO4" s="310"/>
      <c r="AP4" s="279"/>
      <c r="AQ4" s="1074" t="s">
        <v>2479</v>
      </c>
      <c r="AR4" s="1075"/>
      <c r="AS4" s="1075"/>
      <c r="AT4" s="1075"/>
      <c r="AU4" s="1076"/>
      <c r="AW4" s="315"/>
      <c r="BD4" s="314"/>
      <c r="BE4" s="312"/>
    </row>
    <row r="5" spans="1:57">
      <c r="A5" s="1035" t="s">
        <v>2218</v>
      </c>
      <c r="B5" s="1036"/>
      <c r="C5" s="1037"/>
      <c r="D5" s="354">
        <v>4</v>
      </c>
      <c r="F5" s="349">
        <v>3</v>
      </c>
      <c r="G5" s="300">
        <f>VLOOKUP('J1 Form'!$G$57,Ducts!$S$36:$W$40,(Ducts!$D$14+1))</f>
        <v>1</v>
      </c>
      <c r="H5" s="300">
        <f>VLOOKUP('J1 Form'!$G$57,Ducts!S42:W46,(Ducts!$D$14+1))</f>
        <v>1</v>
      </c>
      <c r="I5" s="300">
        <f>VLOOKUP('J1 Form'!$G$57,S42:X46,6)</f>
        <v>1</v>
      </c>
      <c r="J5" s="326">
        <f>VLOOKUP('J1 Form'!$G$57,Ducts!$S$36:$X$40,6)</f>
        <v>0.96899999999999997</v>
      </c>
      <c r="K5" s="348">
        <f>VLOOKUP('J1 Form'!$G$57,Ducts!$S$36:$Y$40,7)</f>
        <v>3.1E-2</v>
      </c>
      <c r="L5" s="309"/>
      <c r="M5" s="309"/>
      <c r="N5" s="309"/>
      <c r="O5" s="309"/>
      <c r="P5" s="309"/>
      <c r="Q5" s="309"/>
      <c r="Z5" s="304"/>
      <c r="AA5" s="303"/>
      <c r="AH5" s="1047"/>
      <c r="AI5" s="1048"/>
      <c r="AJ5" s="1048"/>
      <c r="AK5" s="1049"/>
      <c r="AL5" s="385" t="s">
        <v>2297</v>
      </c>
      <c r="AM5" s="287">
        <f>AQ27</f>
        <v>0</v>
      </c>
      <c r="AO5" s="310"/>
      <c r="AP5" s="288" t="s">
        <v>2480</v>
      </c>
      <c r="AQ5" s="289">
        <v>1000</v>
      </c>
      <c r="AR5" s="289">
        <v>1500</v>
      </c>
      <c r="AS5" s="289">
        <v>2000</v>
      </c>
      <c r="AT5" s="289">
        <v>2500</v>
      </c>
      <c r="AU5" s="289">
        <v>3000</v>
      </c>
      <c r="AW5" s="1082" t="s">
        <v>2481</v>
      </c>
      <c r="AX5" s="1083"/>
      <c r="AY5" s="1083"/>
      <c r="AZ5" s="1083"/>
      <c r="BA5" s="1083"/>
      <c r="BB5" s="1086"/>
      <c r="BC5" s="1080">
        <f>IF(AU14&lt;=0,-10,IF(AU14&lt;=10,0,IF(AU14&lt;=20,10,IF(AU14&lt;=30,20,IF(AU14&lt;=50,30)))))</f>
        <v>-10</v>
      </c>
      <c r="BD5" s="314"/>
      <c r="BE5" s="312"/>
    </row>
    <row r="6" spans="1:57">
      <c r="A6" s="1035" t="s">
        <v>2217</v>
      </c>
      <c r="B6" s="1036"/>
      <c r="C6" s="1037"/>
      <c r="D6" s="676">
        <v>5</v>
      </c>
      <c r="F6" s="349">
        <v>4</v>
      </c>
      <c r="G6" s="300">
        <f>VLOOKUP('J1 Form'!$G$57,Ducts!$S$49:$W$53,(Ducts!$D$14+1))</f>
        <v>1</v>
      </c>
      <c r="H6" s="300">
        <f>VLOOKUP('J1 Form'!$G$57,Ducts!S55:W59,(Ducts!$D$14+1))</f>
        <v>1</v>
      </c>
      <c r="I6" s="300">
        <f>VLOOKUP('J1 Form'!$G$57,S55:X59,6)</f>
        <v>1</v>
      </c>
      <c r="J6" s="326">
        <f>VLOOKUP('J1 Form'!$G$57,Ducts!$S$49:$X$53,6)</f>
        <v>0.79</v>
      </c>
      <c r="K6" s="348">
        <f>VLOOKUP('J1 Form'!$G$57,Ducts!$S$49:$Y$53,7)</f>
        <v>0.21</v>
      </c>
      <c r="L6" s="376"/>
      <c r="M6" s="309"/>
      <c r="N6" s="309"/>
      <c r="O6" s="309"/>
      <c r="P6" s="309"/>
      <c r="Q6" s="309"/>
      <c r="Z6" s="304"/>
      <c r="AA6" s="303"/>
      <c r="AH6" s="1050"/>
      <c r="AI6" s="1051"/>
      <c r="AJ6" s="1051"/>
      <c r="AK6" s="1052"/>
      <c r="AL6" s="386" t="s">
        <v>2298</v>
      </c>
      <c r="AM6" s="294">
        <f>AQ43</f>
        <v>0</v>
      </c>
      <c r="AO6" s="310"/>
      <c r="AP6" s="289">
        <v>-10</v>
      </c>
      <c r="AQ6" s="290">
        <f t="shared" ref="AQ6:AU11" si="0">IF($D$8=1,I10,IF($D$8=2,I23,IF($D$8=3,I36,IF($D$8=4,I49,IF($D$8=5,I62,0)))))</f>
        <v>0</v>
      </c>
      <c r="AR6" s="290">
        <f t="shared" si="0"/>
        <v>0</v>
      </c>
      <c r="AS6" s="290">
        <f t="shared" si="0"/>
        <v>0</v>
      </c>
      <c r="AT6" s="290">
        <f t="shared" si="0"/>
        <v>0</v>
      </c>
      <c r="AU6" s="290">
        <f t="shared" si="0"/>
        <v>0</v>
      </c>
      <c r="AW6" s="278"/>
      <c r="AX6" s="278"/>
      <c r="AY6" s="278"/>
      <c r="AZ6" s="278"/>
      <c r="BA6" s="278"/>
      <c r="BB6" s="278"/>
      <c r="BC6" s="1081"/>
      <c r="BD6" s="314"/>
      <c r="BE6" s="312"/>
    </row>
    <row r="7" spans="1:57" ht="13.5" thickBot="1">
      <c r="A7" s="1038" t="s">
        <v>2222</v>
      </c>
      <c r="B7" s="1039"/>
      <c r="C7" s="1039"/>
      <c r="D7" s="357">
        <v>6</v>
      </c>
      <c r="F7" s="669">
        <v>5</v>
      </c>
      <c r="G7" s="670">
        <f>VLOOKUP('J1 Form'!$G$57,$S$62:$W$66,(Ducts!$D$14+1))</f>
        <v>1</v>
      </c>
      <c r="H7" s="670">
        <f>VLOOKUP('J1 Form'!$G$57,S68:W72,(Ducts!$D$14+1))</f>
        <v>1</v>
      </c>
      <c r="I7" s="670">
        <f>VLOOKUP('J1 Form'!$G$57,S68:X72,6)</f>
        <v>1</v>
      </c>
      <c r="J7" s="671">
        <f>VLOOKUP('J1 Form'!$G$57,S62:X66,6)</f>
        <v>0.82899999999999996</v>
      </c>
      <c r="K7" s="672">
        <f>VLOOKUP('J1 Form'!$G$57,S62:Y66,7)</f>
        <v>0.17100000000000001</v>
      </c>
      <c r="L7" s="309"/>
      <c r="M7" s="309"/>
      <c r="N7" s="309"/>
      <c r="O7" s="309"/>
      <c r="P7" s="309"/>
      <c r="Q7" s="309"/>
      <c r="Z7" s="304"/>
      <c r="AA7" s="303"/>
      <c r="AH7" s="1053" t="str">
        <f>'J1 Form'!F57</f>
        <v>R-Value = 6</v>
      </c>
      <c r="AI7" s="1054"/>
      <c r="AJ7" s="1055"/>
      <c r="AK7" s="379"/>
      <c r="AL7" s="380" t="s">
        <v>2299</v>
      </c>
      <c r="AM7" s="398" t="b">
        <f>B14</f>
        <v>0</v>
      </c>
      <c r="AN7" s="179"/>
      <c r="AO7" s="310"/>
      <c r="AP7" s="289">
        <v>0</v>
      </c>
      <c r="AQ7" s="290">
        <f t="shared" si="0"/>
        <v>0</v>
      </c>
      <c r="AR7" s="290">
        <f t="shared" si="0"/>
        <v>0</v>
      </c>
      <c r="AS7" s="290">
        <f t="shared" si="0"/>
        <v>0</v>
      </c>
      <c r="AT7" s="290">
        <f t="shared" si="0"/>
        <v>0</v>
      </c>
      <c r="AU7" s="290">
        <f t="shared" si="0"/>
        <v>0</v>
      </c>
      <c r="AW7" s="315"/>
      <c r="BD7" s="314"/>
      <c r="BE7" s="678"/>
    </row>
    <row r="8" spans="1:57" ht="13.5" thickBot="1">
      <c r="A8" s="674"/>
      <c r="B8" s="675"/>
      <c r="C8" s="675"/>
      <c r="D8" s="338">
        <f>VLOOKUP('J1 Form'!F56,A2:D7,4)</f>
        <v>6</v>
      </c>
      <c r="AA8" s="303"/>
      <c r="AH8" s="1056"/>
      <c r="AI8" s="1057"/>
      <c r="AJ8" s="1058"/>
      <c r="AK8" s="383"/>
      <c r="AL8" s="384" t="s">
        <v>2300</v>
      </c>
      <c r="AM8" s="398" t="b">
        <f>C14</f>
        <v>0</v>
      </c>
      <c r="AN8" s="321"/>
      <c r="AO8" s="310"/>
      <c r="AP8" s="289">
        <v>10</v>
      </c>
      <c r="AQ8" s="290">
        <f t="shared" si="0"/>
        <v>0</v>
      </c>
      <c r="AR8" s="290">
        <f t="shared" si="0"/>
        <v>0</v>
      </c>
      <c r="AS8" s="290">
        <f t="shared" si="0"/>
        <v>0</v>
      </c>
      <c r="AT8" s="290">
        <f t="shared" si="0"/>
        <v>0</v>
      </c>
      <c r="AU8" s="290">
        <f t="shared" si="0"/>
        <v>0</v>
      </c>
      <c r="AW8" s="1085" t="s">
        <v>2482</v>
      </c>
      <c r="AX8" s="1085"/>
      <c r="AY8" s="1085"/>
      <c r="AZ8" s="280" t="s">
        <v>2483</v>
      </c>
      <c r="BA8" s="1085" t="s">
        <v>2484</v>
      </c>
      <c r="BB8" s="1085"/>
      <c r="BC8" s="1085"/>
      <c r="BD8" s="314">
        <f>BC10-AY10</f>
        <v>0</v>
      </c>
      <c r="BE8" s="678"/>
    </row>
    <row r="9" spans="1:57" ht="15" customHeight="1" thickBot="1">
      <c r="A9" s="355" t="s">
        <v>2318</v>
      </c>
      <c r="B9" s="356" t="s">
        <v>1235</v>
      </c>
      <c r="C9" s="356" t="s">
        <v>1328</v>
      </c>
      <c r="D9" s="353" t="s">
        <v>1224</v>
      </c>
      <c r="F9" s="374" t="s">
        <v>2505</v>
      </c>
      <c r="G9" s="362"/>
      <c r="H9" s="362"/>
      <c r="I9" s="363">
        <v>1000</v>
      </c>
      <c r="J9" s="363">
        <v>1500</v>
      </c>
      <c r="K9" s="363">
        <v>2000</v>
      </c>
      <c r="L9" s="363">
        <v>2500</v>
      </c>
      <c r="M9" s="363">
        <v>3000</v>
      </c>
      <c r="N9" s="362"/>
      <c r="O9" s="363" t="s">
        <v>2504</v>
      </c>
      <c r="P9" s="364" t="s">
        <v>1235</v>
      </c>
      <c r="Q9" s="364" t="s">
        <v>1328</v>
      </c>
      <c r="R9" s="362"/>
      <c r="S9" s="362"/>
      <c r="T9" s="365" t="s">
        <v>1318</v>
      </c>
      <c r="U9" s="365" t="s">
        <v>1319</v>
      </c>
      <c r="V9" s="365" t="s">
        <v>1320</v>
      </c>
      <c r="W9" s="365" t="s">
        <v>1321</v>
      </c>
      <c r="X9" s="365" t="s">
        <v>2414</v>
      </c>
      <c r="Y9" s="364" t="s">
        <v>2415</v>
      </c>
      <c r="Z9" s="366"/>
      <c r="AA9" s="363"/>
      <c r="AB9" s="363">
        <v>1000</v>
      </c>
      <c r="AC9" s="363">
        <v>1500</v>
      </c>
      <c r="AD9" s="363">
        <v>2000</v>
      </c>
      <c r="AE9" s="363">
        <v>2500</v>
      </c>
      <c r="AF9" s="367">
        <v>3000</v>
      </c>
      <c r="AH9" s="1059" t="s">
        <v>2301</v>
      </c>
      <c r="AI9" s="1060"/>
      <c r="AJ9" s="1060"/>
      <c r="AK9" s="1060"/>
      <c r="AL9" s="1061"/>
      <c r="AM9" s="399">
        <f>AM4*AM7</f>
        <v>0</v>
      </c>
      <c r="AN9" s="324"/>
      <c r="AO9" s="310"/>
      <c r="AP9" s="289">
        <v>20</v>
      </c>
      <c r="AQ9" s="290">
        <f t="shared" si="0"/>
        <v>0</v>
      </c>
      <c r="AR9" s="290">
        <f t="shared" si="0"/>
        <v>0</v>
      </c>
      <c r="AS9" s="290">
        <f t="shared" si="0"/>
        <v>0</v>
      </c>
      <c r="AT9" s="290">
        <f t="shared" si="0"/>
        <v>0</v>
      </c>
      <c r="AU9" s="290">
        <f t="shared" si="0"/>
        <v>0</v>
      </c>
      <c r="AW9" s="281" t="s">
        <v>1194</v>
      </c>
      <c r="AX9" s="281" t="s">
        <v>2485</v>
      </c>
      <c r="AY9" s="282" t="s">
        <v>2486</v>
      </c>
      <c r="AZ9" s="283" t="s">
        <v>2486</v>
      </c>
      <c r="BA9" s="281" t="s">
        <v>1194</v>
      </c>
      <c r="BB9" s="281" t="s">
        <v>2485</v>
      </c>
      <c r="BC9" s="282" t="s">
        <v>2486</v>
      </c>
      <c r="BD9" s="314">
        <f>BA10-AW10</f>
        <v>500</v>
      </c>
      <c r="BE9" s="678"/>
    </row>
    <row r="10" spans="1:57" ht="15" customHeight="1">
      <c r="A10" s="316" t="s">
        <v>1368</v>
      </c>
      <c r="B10" s="300" t="b">
        <f t="shared" ref="B10:C13" si="1">IF($D$8=1,P10,IF($D$8=2,P23,IF($D$8=3,P36,IF($D$8=4,P49,IF($D$8=5,P62)))))</f>
        <v>0</v>
      </c>
      <c r="C10" s="300" t="b">
        <f t="shared" si="1"/>
        <v>0</v>
      </c>
      <c r="D10" s="354">
        <v>1</v>
      </c>
      <c r="F10" s="375" t="s">
        <v>1315</v>
      </c>
      <c r="G10" s="315">
        <v>-10</v>
      </c>
      <c r="H10" s="304">
        <v>1</v>
      </c>
      <c r="I10" s="315">
        <v>0.11700000000000001</v>
      </c>
      <c r="J10" s="304">
        <v>0.13400000000000001</v>
      </c>
      <c r="K10" s="304">
        <v>0.16400000000000001</v>
      </c>
      <c r="L10" s="304">
        <v>0.16900000000000001</v>
      </c>
      <c r="M10" s="314">
        <v>0.186</v>
      </c>
      <c r="O10" s="358" t="s">
        <v>1318</v>
      </c>
      <c r="P10" s="340">
        <v>2.04</v>
      </c>
      <c r="Q10" s="340">
        <v>2.2400000000000002</v>
      </c>
      <c r="S10" s="358" t="s">
        <v>1322</v>
      </c>
      <c r="T10" s="340">
        <v>0.88</v>
      </c>
      <c r="U10" s="340">
        <v>0.82</v>
      </c>
      <c r="V10" s="340">
        <v>0.76</v>
      </c>
      <c r="W10" s="340">
        <v>0.74</v>
      </c>
      <c r="X10" s="359">
        <v>0.81100000000000005</v>
      </c>
      <c r="Y10" s="359">
        <v>0.189</v>
      </c>
      <c r="AA10" s="360">
        <v>10</v>
      </c>
      <c r="AB10" s="358">
        <v>77</v>
      </c>
      <c r="AC10" s="358">
        <v>126</v>
      </c>
      <c r="AD10" s="358">
        <v>172</v>
      </c>
      <c r="AE10" s="358">
        <v>217</v>
      </c>
      <c r="AF10" s="361">
        <v>261</v>
      </c>
      <c r="AH10" s="1062" t="s">
        <v>2302</v>
      </c>
      <c r="AI10" s="1063"/>
      <c r="AJ10" s="1063"/>
      <c r="AK10" s="1063"/>
      <c r="AL10" s="1064"/>
      <c r="AM10" s="399">
        <f>AM5*AM8</f>
        <v>0</v>
      </c>
      <c r="AN10" s="324"/>
      <c r="AO10" s="310"/>
      <c r="AP10" s="289">
        <v>30</v>
      </c>
      <c r="AQ10" s="290">
        <f t="shared" si="0"/>
        <v>0</v>
      </c>
      <c r="AR10" s="290">
        <f t="shared" si="0"/>
        <v>0</v>
      </c>
      <c r="AS10" s="290">
        <f t="shared" si="0"/>
        <v>0</v>
      </c>
      <c r="AT10" s="290">
        <f t="shared" si="0"/>
        <v>0</v>
      </c>
      <c r="AU10" s="290">
        <f t="shared" si="0"/>
        <v>0</v>
      </c>
      <c r="AW10" s="284">
        <f>BB2</f>
        <v>2500</v>
      </c>
      <c r="AX10" s="284">
        <f>BC5</f>
        <v>-10</v>
      </c>
      <c r="AY10" s="285">
        <f>INDEX(AP5:AU11, MATCH(AX10,AP5:AP11,), MATCH(AW10,AP5:AU5,))</f>
        <v>0</v>
      </c>
      <c r="AZ10" s="286">
        <f>BC10-BD11</f>
        <v>0</v>
      </c>
      <c r="BA10" s="284">
        <f>BB2+500</f>
        <v>3000</v>
      </c>
      <c r="BB10" s="284">
        <f>BC5</f>
        <v>-10</v>
      </c>
      <c r="BC10" s="285">
        <f>INDEX(AP5:AU11, MATCH(BB10,AP5:AP11,), MATCH(BA10,AP5:AU5,))</f>
        <v>0</v>
      </c>
      <c r="BD10" s="314">
        <f>BD8/BD9</f>
        <v>0</v>
      </c>
      <c r="BE10" s="678">
        <f>AZ10-AZ14</f>
        <v>0</v>
      </c>
    </row>
    <row r="11" spans="1:57">
      <c r="A11" s="316" t="s">
        <v>1369</v>
      </c>
      <c r="B11" s="300" t="b">
        <f t="shared" si="1"/>
        <v>0</v>
      </c>
      <c r="C11" s="300" t="b">
        <f t="shared" si="1"/>
        <v>0</v>
      </c>
      <c r="D11" s="354">
        <v>2</v>
      </c>
      <c r="F11" s="376"/>
      <c r="G11" s="315">
        <v>0</v>
      </c>
      <c r="H11" s="304">
        <v>2</v>
      </c>
      <c r="I11" s="315">
        <v>0.104</v>
      </c>
      <c r="J11" s="304">
        <v>0.121</v>
      </c>
      <c r="K11" s="304">
        <v>0.14399999999999999</v>
      </c>
      <c r="L11" s="304">
        <v>0.159</v>
      </c>
      <c r="M11" s="314">
        <v>0.17</v>
      </c>
      <c r="O11" s="301" t="s">
        <v>1319</v>
      </c>
      <c r="P11" s="300">
        <v>1.39</v>
      </c>
      <c r="Q11" s="300">
        <v>1.37</v>
      </c>
      <c r="S11" s="301" t="s">
        <v>1323</v>
      </c>
      <c r="T11" s="300">
        <v>0.94</v>
      </c>
      <c r="U11" s="300">
        <v>0.91</v>
      </c>
      <c r="V11" s="300">
        <v>0.87</v>
      </c>
      <c r="W11" s="300">
        <v>0.88</v>
      </c>
      <c r="X11" s="326">
        <v>0.78800000000000003</v>
      </c>
      <c r="Y11" s="326">
        <v>0.21199999999999999</v>
      </c>
      <c r="AA11" s="327">
        <v>20</v>
      </c>
      <c r="AB11" s="301">
        <v>113</v>
      </c>
      <c r="AC11" s="301">
        <v>185</v>
      </c>
      <c r="AD11" s="301">
        <v>251</v>
      </c>
      <c r="AE11" s="301">
        <v>317</v>
      </c>
      <c r="AF11" s="317">
        <v>382</v>
      </c>
      <c r="AH11" s="1044" t="str">
        <f>'J1 Form'!G57</f>
        <v>Leakage Class .12/.24</v>
      </c>
      <c r="AI11" s="1045"/>
      <c r="AJ11" s="1046"/>
      <c r="AK11" s="379"/>
      <c r="AL11" s="380" t="s">
        <v>2299</v>
      </c>
      <c r="AM11" s="401">
        <f>L3</f>
        <v>1</v>
      </c>
      <c r="AN11" s="323"/>
      <c r="AO11" s="310"/>
      <c r="AP11" s="289">
        <v>40</v>
      </c>
      <c r="AQ11" s="290">
        <f t="shared" si="0"/>
        <v>0</v>
      </c>
      <c r="AR11" s="290">
        <f t="shared" si="0"/>
        <v>0</v>
      </c>
      <c r="AS11" s="290">
        <f t="shared" si="0"/>
        <v>0</v>
      </c>
      <c r="AT11" s="290">
        <f t="shared" si="0"/>
        <v>0</v>
      </c>
      <c r="AU11" s="290">
        <f t="shared" si="0"/>
        <v>0</v>
      </c>
      <c r="AW11" s="315"/>
      <c r="BD11" s="314">
        <f>(BA10-AS14)*BD10</f>
        <v>0</v>
      </c>
      <c r="BE11" s="678">
        <f>AX14-AX10</f>
        <v>10</v>
      </c>
    </row>
    <row r="12" spans="1:57">
      <c r="A12" s="316" t="s">
        <v>1367</v>
      </c>
      <c r="B12" s="300" t="b">
        <f t="shared" si="1"/>
        <v>0</v>
      </c>
      <c r="C12" s="300" t="b">
        <f t="shared" si="1"/>
        <v>0</v>
      </c>
      <c r="D12" s="354">
        <v>3</v>
      </c>
      <c r="F12" s="376"/>
      <c r="G12" s="315">
        <v>10</v>
      </c>
      <c r="H12" s="304">
        <v>3</v>
      </c>
      <c r="I12" s="315">
        <v>9.1999999999999998E-2</v>
      </c>
      <c r="J12" s="304">
        <v>0.111</v>
      </c>
      <c r="K12" s="304">
        <v>0.122</v>
      </c>
      <c r="L12" s="304">
        <v>0.13</v>
      </c>
      <c r="M12" s="314">
        <v>0.14899999999999999</v>
      </c>
      <c r="O12" s="301" t="s">
        <v>1320</v>
      </c>
      <c r="P12" s="300">
        <v>1</v>
      </c>
      <c r="Q12" s="300">
        <v>1</v>
      </c>
      <c r="S12" s="301" t="s">
        <v>1324</v>
      </c>
      <c r="T12" s="300">
        <v>1</v>
      </c>
      <c r="U12" s="300">
        <v>1</v>
      </c>
      <c r="V12" s="300">
        <v>1</v>
      </c>
      <c r="W12" s="300">
        <v>1</v>
      </c>
      <c r="X12" s="326">
        <v>0.77100000000000002</v>
      </c>
      <c r="Y12" s="326">
        <v>0.22900000000000001</v>
      </c>
      <c r="AA12" s="327">
        <v>30</v>
      </c>
      <c r="AB12" s="301">
        <v>150</v>
      </c>
      <c r="AC12" s="301">
        <v>246</v>
      </c>
      <c r="AD12" s="301">
        <v>334</v>
      </c>
      <c r="AE12" s="301">
        <v>422</v>
      </c>
      <c r="AF12" s="317">
        <v>507</v>
      </c>
      <c r="AH12" s="1047"/>
      <c r="AI12" s="1048"/>
      <c r="AJ12" s="1049"/>
      <c r="AK12" s="381"/>
      <c r="AL12" s="382" t="s">
        <v>2300</v>
      </c>
      <c r="AM12" s="401">
        <f>M3</f>
        <v>1</v>
      </c>
      <c r="AO12" s="310"/>
      <c r="AP12" s="315"/>
      <c r="AU12" s="314"/>
      <c r="AW12" s="1085" t="s">
        <v>2487</v>
      </c>
      <c r="AX12" s="1085"/>
      <c r="AY12" s="1085"/>
      <c r="AZ12" s="280" t="s">
        <v>2483</v>
      </c>
      <c r="BA12" s="1085" t="s">
        <v>2488</v>
      </c>
      <c r="BB12" s="1085"/>
      <c r="BC12" s="1085"/>
      <c r="BD12" s="314">
        <f>BC14-AY14</f>
        <v>0</v>
      </c>
      <c r="BE12" s="678">
        <f>BE10/BE11</f>
        <v>0</v>
      </c>
    </row>
    <row r="13" spans="1:57" ht="13.5" thickBot="1">
      <c r="A13" s="320" t="s">
        <v>1370</v>
      </c>
      <c r="B13" s="343" t="b">
        <f t="shared" si="1"/>
        <v>0</v>
      </c>
      <c r="C13" s="343" t="b">
        <f t="shared" si="1"/>
        <v>0</v>
      </c>
      <c r="D13" s="357">
        <v>4</v>
      </c>
      <c r="F13" s="376"/>
      <c r="G13" s="315">
        <v>20</v>
      </c>
      <c r="H13" s="304">
        <v>4</v>
      </c>
      <c r="I13" s="315">
        <v>8.3000000000000004E-2</v>
      </c>
      <c r="J13" s="304">
        <v>0.1</v>
      </c>
      <c r="K13" s="304">
        <v>0.113</v>
      </c>
      <c r="L13" s="304">
        <v>0.126</v>
      </c>
      <c r="M13" s="314">
        <v>0.13500000000000001</v>
      </c>
      <c r="O13" s="301" t="s">
        <v>1321</v>
      </c>
      <c r="P13" s="300">
        <v>0.86</v>
      </c>
      <c r="Q13" s="300">
        <v>0.86</v>
      </c>
      <c r="S13" s="301" t="s">
        <v>1325</v>
      </c>
      <c r="T13" s="300">
        <v>1.26</v>
      </c>
      <c r="U13" s="300">
        <v>1.37</v>
      </c>
      <c r="V13" s="300">
        <v>1.43</v>
      </c>
      <c r="W13" s="300">
        <v>1.53</v>
      </c>
      <c r="X13" s="326">
        <v>0.752</v>
      </c>
      <c r="Y13" s="326">
        <v>0.248</v>
      </c>
      <c r="AA13" s="327">
        <v>40</v>
      </c>
      <c r="AB13" s="301">
        <v>189</v>
      </c>
      <c r="AC13" s="301">
        <v>309</v>
      </c>
      <c r="AD13" s="301">
        <v>419</v>
      </c>
      <c r="AE13" s="301">
        <v>530</v>
      </c>
      <c r="AF13" s="317">
        <v>637</v>
      </c>
      <c r="AH13" s="1050"/>
      <c r="AI13" s="1051"/>
      <c r="AJ13" s="1052"/>
      <c r="AK13" s="383"/>
      <c r="AL13" s="384" t="s">
        <v>2303</v>
      </c>
      <c r="AM13" s="401">
        <f>N3</f>
        <v>1</v>
      </c>
      <c r="AN13" s="323"/>
      <c r="AO13" s="310"/>
      <c r="AP13" s="315"/>
      <c r="AU13" s="314"/>
      <c r="AW13" s="281" t="s">
        <v>1194</v>
      </c>
      <c r="AX13" s="281" t="s">
        <v>2485</v>
      </c>
      <c r="AY13" s="282" t="s">
        <v>2486</v>
      </c>
      <c r="AZ13" s="283" t="s">
        <v>2486</v>
      </c>
      <c r="BA13" s="281" t="s">
        <v>1194</v>
      </c>
      <c r="BB13" s="281" t="s">
        <v>2485</v>
      </c>
      <c r="BC13" s="282" t="s">
        <v>2486</v>
      </c>
      <c r="BD13" s="314">
        <f>BA14-AW14</f>
        <v>500</v>
      </c>
      <c r="BE13" s="678">
        <f>AX14-AU14</f>
        <v>9</v>
      </c>
    </row>
    <row r="14" spans="1:57" ht="13.5" thickBot="1">
      <c r="A14" s="335"/>
      <c r="B14" s="338" t="b">
        <f>VLOOKUP('J1 Form'!F57,Ducts!A10:B13,2)</f>
        <v>0</v>
      </c>
      <c r="C14" s="338" t="b">
        <f>VLOOKUP('J1 Form'!F57,Ducts!A10:C13,3)</f>
        <v>0</v>
      </c>
      <c r="D14" s="338">
        <f>VLOOKUP('J1 Form'!F57,Ducts!A9:D12,4)</f>
        <v>3</v>
      </c>
      <c r="F14" s="376"/>
      <c r="G14" s="315">
        <v>30</v>
      </c>
      <c r="H14" s="304">
        <v>5</v>
      </c>
      <c r="I14" s="315">
        <v>7.0999999999999994E-2</v>
      </c>
      <c r="J14" s="304">
        <v>8.5000000000000006E-2</v>
      </c>
      <c r="K14" s="304">
        <v>0.09</v>
      </c>
      <c r="L14" s="304">
        <v>0.104</v>
      </c>
      <c r="M14" s="314">
        <v>0.11799999999999999</v>
      </c>
      <c r="S14" s="301" t="s">
        <v>1326</v>
      </c>
      <c r="T14" s="300">
        <v>1.65</v>
      </c>
      <c r="U14" s="300">
        <v>1.8</v>
      </c>
      <c r="V14" s="300">
        <v>1.97</v>
      </c>
      <c r="W14" s="300">
        <v>2.19</v>
      </c>
      <c r="X14" s="326">
        <v>0.74299999999999999</v>
      </c>
      <c r="Y14" s="326">
        <v>0.25700000000000001</v>
      </c>
      <c r="AA14" s="327">
        <v>50</v>
      </c>
      <c r="AB14" s="301">
        <v>229</v>
      </c>
      <c r="AC14" s="301">
        <v>374</v>
      </c>
      <c r="AD14" s="301">
        <v>507</v>
      </c>
      <c r="AE14" s="301">
        <v>641</v>
      </c>
      <c r="AF14" s="317">
        <v>772</v>
      </c>
      <c r="AH14" s="388"/>
      <c r="AI14" s="389"/>
      <c r="AJ14" s="389"/>
      <c r="AK14" s="389"/>
      <c r="AL14" s="390" t="s">
        <v>2301</v>
      </c>
      <c r="AM14" s="399">
        <f>AM9*AM11</f>
        <v>0</v>
      </c>
      <c r="AN14" s="323"/>
      <c r="AO14" s="310"/>
      <c r="AP14" s="296" t="s">
        <v>2491</v>
      </c>
      <c r="AQ14" s="287">
        <f>AZ14+BE14</f>
        <v>0</v>
      </c>
      <c r="AR14" s="295" t="s">
        <v>2489</v>
      </c>
      <c r="AS14" s="409">
        <f>AM2</f>
        <v>2785.77</v>
      </c>
      <c r="AT14" s="295" t="s">
        <v>2490</v>
      </c>
      <c r="AU14" s="409">
        <f>AH3</f>
        <v>-9</v>
      </c>
      <c r="AW14" s="284">
        <f>BB2</f>
        <v>2500</v>
      </c>
      <c r="AX14" s="284">
        <f>AX10+10</f>
        <v>0</v>
      </c>
      <c r="AY14" s="285">
        <f>INDEX(AP5:AU11, MATCH(AX14,AP5:AP11,), MATCH(AW14,AP5:AU5,))</f>
        <v>0</v>
      </c>
      <c r="AZ14" s="286">
        <f>BC14-BD15</f>
        <v>0</v>
      </c>
      <c r="BA14" s="284">
        <f>BB2+500</f>
        <v>3000</v>
      </c>
      <c r="BB14" s="284">
        <f>BB10+10</f>
        <v>0</v>
      </c>
      <c r="BC14" s="285">
        <f>INDEX(AP5:AU11, MATCH(BB14,AP5:AP11,), MATCH(BA14,AP5:AU5,))</f>
        <v>0</v>
      </c>
      <c r="BD14" s="314">
        <f>BD12/BD13</f>
        <v>0</v>
      </c>
      <c r="BE14" s="678">
        <f>BE12*BE13</f>
        <v>0</v>
      </c>
    </row>
    <row r="15" spans="1:57">
      <c r="F15" s="376"/>
      <c r="G15" s="315">
        <v>40</v>
      </c>
      <c r="H15" s="304">
        <v>6</v>
      </c>
      <c r="I15" s="315">
        <v>6.9000000000000006E-2</v>
      </c>
      <c r="J15" s="304">
        <v>7.0000000000000007E-2</v>
      </c>
      <c r="K15" s="304">
        <v>8.2000000000000003E-2</v>
      </c>
      <c r="L15" s="304">
        <v>0.09</v>
      </c>
      <c r="M15" s="314">
        <v>9.9000000000000005E-2</v>
      </c>
      <c r="X15" s="301" t="s">
        <v>2448</v>
      </c>
      <c r="AA15" s="327">
        <v>60</v>
      </c>
      <c r="AB15" s="301">
        <v>270</v>
      </c>
      <c r="AC15" s="301">
        <v>441</v>
      </c>
      <c r="AD15" s="301">
        <v>599</v>
      </c>
      <c r="AE15" s="301">
        <v>757</v>
      </c>
      <c r="AF15" s="317">
        <v>911</v>
      </c>
      <c r="AH15" s="388"/>
      <c r="AI15" s="389"/>
      <c r="AJ15" s="389"/>
      <c r="AK15" s="389"/>
      <c r="AL15" s="390" t="s">
        <v>2302</v>
      </c>
      <c r="AM15" s="399">
        <f>AM10*AM12</f>
        <v>0</v>
      </c>
      <c r="AN15" s="329"/>
      <c r="AO15" s="310"/>
      <c r="AP15" s="315"/>
      <c r="AU15" s="314"/>
      <c r="AW15" s="315"/>
      <c r="BD15" s="314">
        <f>(BA14-AS14)*BD14</f>
        <v>0</v>
      </c>
      <c r="BE15" s="678"/>
    </row>
    <row r="16" spans="1:57">
      <c r="F16" s="376"/>
      <c r="G16" s="315"/>
      <c r="I16" s="315"/>
      <c r="M16" s="314"/>
      <c r="S16" s="301" t="s">
        <v>1322</v>
      </c>
      <c r="T16" s="300">
        <v>0.85</v>
      </c>
      <c r="U16" s="300">
        <v>0.79</v>
      </c>
      <c r="V16" s="300">
        <v>0.73</v>
      </c>
      <c r="W16" s="319">
        <v>0.73</v>
      </c>
      <c r="X16" s="300">
        <v>0.3</v>
      </c>
      <c r="AA16" s="327">
        <v>70</v>
      </c>
      <c r="AB16" s="301">
        <v>312</v>
      </c>
      <c r="AC16" s="301">
        <v>511</v>
      </c>
      <c r="AD16" s="301">
        <v>694</v>
      </c>
      <c r="AE16" s="301">
        <v>867</v>
      </c>
      <c r="AF16" s="317">
        <v>1055</v>
      </c>
      <c r="AH16" s="388"/>
      <c r="AI16" s="389"/>
      <c r="AJ16" s="389"/>
      <c r="AK16" s="389"/>
      <c r="AL16" s="390" t="s">
        <v>2304</v>
      </c>
      <c r="AM16" s="400">
        <f>AM6*AM13</f>
        <v>0</v>
      </c>
      <c r="AN16" s="329"/>
      <c r="AO16" s="310"/>
      <c r="AP16" s="1071" t="s">
        <v>2493</v>
      </c>
      <c r="AQ16" s="1072"/>
      <c r="AR16" s="1072"/>
      <c r="AS16" s="1072"/>
      <c r="AT16" s="1072"/>
      <c r="AU16" s="1073"/>
      <c r="AW16" s="1082" t="s">
        <v>2478</v>
      </c>
      <c r="AX16" s="1083"/>
      <c r="AY16" s="1083"/>
      <c r="AZ16" s="1083"/>
      <c r="BA16" s="1084"/>
      <c r="BB16" s="1080">
        <f>IF(AS27&gt;2500,2500,SUM(AW17:BA17))</f>
        <v>2500</v>
      </c>
      <c r="BD16" s="314"/>
      <c r="BE16" s="678"/>
    </row>
    <row r="17" spans="6:57">
      <c r="F17" s="376"/>
      <c r="G17" s="315">
        <v>0</v>
      </c>
      <c r="H17" s="304">
        <v>1</v>
      </c>
      <c r="I17" s="315">
        <v>0.109</v>
      </c>
      <c r="J17" s="304">
        <v>0.13100000000000001</v>
      </c>
      <c r="K17" s="304">
        <v>0.154</v>
      </c>
      <c r="L17" s="304">
        <v>0.17</v>
      </c>
      <c r="M17" s="314">
        <v>0.189</v>
      </c>
      <c r="S17" s="301" t="s">
        <v>1323</v>
      </c>
      <c r="T17" s="300">
        <v>0.94</v>
      </c>
      <c r="U17" s="300">
        <v>0.89</v>
      </c>
      <c r="V17" s="300">
        <v>0.86</v>
      </c>
      <c r="W17" s="319">
        <v>0.85</v>
      </c>
      <c r="X17" s="300">
        <v>0.64</v>
      </c>
      <c r="AF17" s="312"/>
      <c r="AH17" s="388"/>
      <c r="AI17" s="389"/>
      <c r="AJ17" s="389"/>
      <c r="AK17" s="389"/>
      <c r="AL17" s="390" t="s">
        <v>2305</v>
      </c>
      <c r="AM17" s="400">
        <f>'J1 Form'!I58</f>
        <v>0</v>
      </c>
      <c r="AO17" s="310"/>
      <c r="AP17" s="1077" t="str">
        <f>AP3</f>
        <v>7F-Ducts in Conditioned Space</v>
      </c>
      <c r="AQ17" s="1078"/>
      <c r="AR17" s="1078"/>
      <c r="AS17" s="1078"/>
      <c r="AT17" s="1078"/>
      <c r="AU17" s="1079"/>
      <c r="AW17" s="278">
        <f>1000*(AS27&lt;1500)</f>
        <v>0</v>
      </c>
      <c r="AX17" s="278">
        <f>1500*(AS27&gt;1499)*(AS27&lt;2000)</f>
        <v>0</v>
      </c>
      <c r="AY17" s="278">
        <f>2000*(AS27&gt;1999)*(AS27&lt;2500)</f>
        <v>0</v>
      </c>
      <c r="AZ17" s="278">
        <f>2500*(AS27&gt;2499)*(AS27&lt;3000)</f>
        <v>2500</v>
      </c>
      <c r="BA17" s="278">
        <f>3000*(AS27&gt;2999)</f>
        <v>0</v>
      </c>
      <c r="BB17" s="1081"/>
      <c r="BD17" s="314"/>
      <c r="BE17" s="312"/>
    </row>
    <row r="18" spans="6:57">
      <c r="F18" s="376"/>
      <c r="G18" s="315">
        <v>85</v>
      </c>
      <c r="H18" s="304">
        <v>2</v>
      </c>
      <c r="I18" s="315">
        <v>0.11</v>
      </c>
      <c r="J18" s="304">
        <v>0.13900000000000001</v>
      </c>
      <c r="K18" s="304">
        <v>0.151</v>
      </c>
      <c r="L18" s="304">
        <v>0.17499999999999999</v>
      </c>
      <c r="M18" s="314">
        <v>0.19</v>
      </c>
      <c r="S18" s="301" t="s">
        <v>1324</v>
      </c>
      <c r="T18" s="300">
        <v>1</v>
      </c>
      <c r="U18" s="300">
        <v>1</v>
      </c>
      <c r="V18" s="300">
        <v>1</v>
      </c>
      <c r="W18" s="319">
        <v>1</v>
      </c>
      <c r="X18" s="300">
        <v>1</v>
      </c>
      <c r="AA18" s="1042" t="s">
        <v>2508</v>
      </c>
      <c r="AB18" s="1042"/>
      <c r="AC18" s="1042"/>
      <c r="AD18" s="1042"/>
      <c r="AE18" s="1042"/>
      <c r="AF18" s="1043"/>
      <c r="AH18" s="388"/>
      <c r="AI18" s="389"/>
      <c r="AJ18" s="389"/>
      <c r="AK18" s="389"/>
      <c r="AL18" s="390" t="s">
        <v>2306</v>
      </c>
      <c r="AM18" s="294">
        <f>IF(AQ52&lt;1,1,AQ52)</f>
        <v>1</v>
      </c>
      <c r="AN18" s="330"/>
      <c r="AO18" s="310"/>
      <c r="AP18" s="279"/>
      <c r="AQ18" s="1074" t="s">
        <v>2479</v>
      </c>
      <c r="AR18" s="1075"/>
      <c r="AS18" s="1075"/>
      <c r="AT18" s="1075"/>
      <c r="AU18" s="1076"/>
      <c r="AW18" s="315"/>
      <c r="BD18" s="314"/>
      <c r="BE18" s="312"/>
    </row>
    <row r="19" spans="6:57">
      <c r="F19" s="376"/>
      <c r="G19" s="315">
        <v>90</v>
      </c>
      <c r="H19" s="304">
        <v>3</v>
      </c>
      <c r="I19" s="315">
        <v>0.124</v>
      </c>
      <c r="J19" s="304">
        <v>0.14899999999999999</v>
      </c>
      <c r="K19" s="304">
        <v>0.16200000000000001</v>
      </c>
      <c r="L19" s="304">
        <v>0.17599999999999999</v>
      </c>
      <c r="M19" s="314">
        <v>0.21099999999999999</v>
      </c>
      <c r="S19" s="279" t="s">
        <v>1325</v>
      </c>
      <c r="T19" s="318">
        <v>1.29</v>
      </c>
      <c r="U19" s="318">
        <v>1.39</v>
      </c>
      <c r="V19" s="318">
        <v>1.58</v>
      </c>
      <c r="W19" s="339">
        <v>1.67</v>
      </c>
      <c r="X19" s="318">
        <v>2.58</v>
      </c>
      <c r="AA19" s="301" t="s">
        <v>2506</v>
      </c>
      <c r="AB19" s="301">
        <v>109</v>
      </c>
      <c r="AC19" s="301">
        <v>177</v>
      </c>
      <c r="AD19" s="301">
        <v>229</v>
      </c>
      <c r="AE19" s="301">
        <v>287</v>
      </c>
      <c r="AF19" s="317">
        <v>330</v>
      </c>
      <c r="AH19" s="388"/>
      <c r="AI19" s="389"/>
      <c r="AJ19" s="389"/>
      <c r="AK19" s="389"/>
      <c r="AL19" s="390" t="s">
        <v>2307</v>
      </c>
      <c r="AM19" s="399">
        <f>IF(AM17=1,1,AM17/AM18)</f>
        <v>0</v>
      </c>
      <c r="AN19" s="330"/>
      <c r="AO19" s="310"/>
      <c r="AP19" s="288" t="s">
        <v>2480</v>
      </c>
      <c r="AQ19" s="289">
        <v>1000</v>
      </c>
      <c r="AR19" s="289">
        <v>1500</v>
      </c>
      <c r="AS19" s="289">
        <v>2000</v>
      </c>
      <c r="AT19" s="289">
        <v>2500</v>
      </c>
      <c r="AU19" s="289">
        <v>3000</v>
      </c>
      <c r="AW19" s="1082" t="s">
        <v>2481</v>
      </c>
      <c r="AX19" s="1083"/>
      <c r="AY19" s="1083"/>
      <c r="AZ19" s="1083"/>
      <c r="BA19" s="1083"/>
      <c r="BB19" s="1086"/>
      <c r="BC19" s="1080">
        <f>IF(AU27&lt;=90,85,IF(AU27&lt;=95,90,IF(AU27&lt;=100,95,IF(AU27&lt;=105,100,IF(AU27&lt;=115,100)))))</f>
        <v>85</v>
      </c>
      <c r="BD19" s="314"/>
      <c r="BE19" s="312"/>
    </row>
    <row r="20" spans="6:57">
      <c r="F20" s="376"/>
      <c r="G20" s="315">
        <v>96</v>
      </c>
      <c r="H20" s="304">
        <v>4</v>
      </c>
      <c r="I20" s="315">
        <v>0.126</v>
      </c>
      <c r="J20" s="304">
        <v>0.154</v>
      </c>
      <c r="K20" s="304">
        <v>0.17199999999999999</v>
      </c>
      <c r="L20" s="304">
        <v>0.189</v>
      </c>
      <c r="M20" s="314">
        <v>0.20499999999999999</v>
      </c>
      <c r="S20" s="345" t="s">
        <v>1326</v>
      </c>
      <c r="T20" s="346">
        <v>1.6</v>
      </c>
      <c r="U20" s="346">
        <v>1.83</v>
      </c>
      <c r="V20" s="346">
        <v>2.11</v>
      </c>
      <c r="W20" s="347">
        <v>2.34</v>
      </c>
      <c r="X20" s="346">
        <v>4.42</v>
      </c>
      <c r="AA20" s="301" t="s">
        <v>2507</v>
      </c>
      <c r="AB20" s="301">
        <v>32</v>
      </c>
      <c r="AC20" s="301">
        <v>43</v>
      </c>
      <c r="AD20" s="301">
        <v>51</v>
      </c>
      <c r="AE20" s="301">
        <v>58</v>
      </c>
      <c r="AF20" s="317">
        <v>64</v>
      </c>
      <c r="AH20" s="388"/>
      <c r="AI20" s="389"/>
      <c r="AJ20" s="389"/>
      <c r="AK20" s="389"/>
      <c r="AL20" s="390" t="s">
        <v>2308</v>
      </c>
      <c r="AM20" s="400">
        <f>'J1 Form'!K58</f>
        <v>0</v>
      </c>
      <c r="AN20" s="330"/>
      <c r="AO20" s="310"/>
      <c r="AP20" s="289">
        <v>85</v>
      </c>
      <c r="AQ20" s="290">
        <f>IF($D$8=1,I17,IF($D$8=2,I30,IF($D$8=3,I43,IF($D$8=4,I56,IF($D$8=5,I69,0)))))</f>
        <v>0</v>
      </c>
      <c r="AR20" s="290">
        <f t="shared" ref="AR20:AU24" si="2">IF($D$8=1,J17,IF($D$8=2,J30,IF($D$8=3,J43,IF($D$8=4,J56,IF($D$8=5,J69,0)))))</f>
        <v>0</v>
      </c>
      <c r="AS20" s="290">
        <f t="shared" si="2"/>
        <v>0</v>
      </c>
      <c r="AT20" s="290">
        <f t="shared" si="2"/>
        <v>0</v>
      </c>
      <c r="AU20" s="290">
        <f t="shared" si="2"/>
        <v>0</v>
      </c>
      <c r="AW20" s="278"/>
      <c r="AX20" s="278"/>
      <c r="AY20" s="278"/>
      <c r="AZ20" s="278"/>
      <c r="BA20" s="278"/>
      <c r="BB20" s="278"/>
      <c r="BC20" s="1081"/>
      <c r="BD20" s="314"/>
      <c r="BE20" s="312"/>
    </row>
    <row r="21" spans="6:57" ht="13.5" thickBot="1">
      <c r="F21" s="377"/>
      <c r="G21" s="341">
        <v>100</v>
      </c>
      <c r="H21" s="336">
        <v>5</v>
      </c>
      <c r="I21" s="341">
        <v>0.13600000000000001</v>
      </c>
      <c r="J21" s="336">
        <v>0.159</v>
      </c>
      <c r="K21" s="336">
        <v>0.17499999999999999</v>
      </c>
      <c r="L21" s="336">
        <v>0.21099999999999999</v>
      </c>
      <c r="M21" s="342">
        <v>0.24099999999999999</v>
      </c>
      <c r="N21" s="336"/>
      <c r="O21" s="336"/>
      <c r="P21" s="336"/>
      <c r="Q21" s="336"/>
      <c r="R21" s="336"/>
      <c r="S21" s="336"/>
      <c r="T21" s="336"/>
      <c r="U21" s="336"/>
      <c r="V21" s="336"/>
      <c r="W21" s="336"/>
      <c r="X21" s="336"/>
      <c r="Y21" s="344"/>
      <c r="Z21" s="344"/>
      <c r="AA21" s="336"/>
      <c r="AB21" s="336"/>
      <c r="AC21" s="336"/>
      <c r="AD21" s="336"/>
      <c r="AE21" s="336"/>
      <c r="AF21" s="337"/>
      <c r="AH21" s="388"/>
      <c r="AI21" s="389"/>
      <c r="AJ21" s="389"/>
      <c r="AK21" s="389"/>
      <c r="AL21" s="390" t="s">
        <v>2309</v>
      </c>
      <c r="AM21" s="294">
        <f>IF(AQ53&lt;1,1,AQ53)</f>
        <v>1</v>
      </c>
      <c r="AN21" s="329"/>
      <c r="AO21" s="310"/>
      <c r="AP21" s="289">
        <v>90</v>
      </c>
      <c r="AQ21" s="290">
        <f>IF($D$8=1,I18,IF($D$8=2,I31,IF($D$8=3,I44,IF($D$8=4,I57,IF($D$8=5,I70,0)))))</f>
        <v>0</v>
      </c>
      <c r="AR21" s="290">
        <f t="shared" si="2"/>
        <v>0</v>
      </c>
      <c r="AS21" s="290">
        <f t="shared" si="2"/>
        <v>0</v>
      </c>
      <c r="AT21" s="290">
        <f t="shared" si="2"/>
        <v>0</v>
      </c>
      <c r="AU21" s="290">
        <f t="shared" si="2"/>
        <v>0</v>
      </c>
      <c r="AW21" s="315"/>
      <c r="BD21" s="314"/>
      <c r="BE21" s="312"/>
    </row>
    <row r="22" spans="6:57" ht="13.5" thickBot="1">
      <c r="F22" s="374" t="s">
        <v>2505</v>
      </c>
      <c r="G22" s="362"/>
      <c r="H22" s="362"/>
      <c r="I22" s="363">
        <v>1000</v>
      </c>
      <c r="J22" s="363">
        <v>1500</v>
      </c>
      <c r="K22" s="363">
        <v>2000</v>
      </c>
      <c r="L22" s="363">
        <v>2500</v>
      </c>
      <c r="M22" s="363">
        <v>3000</v>
      </c>
      <c r="N22" s="362"/>
      <c r="O22" s="363" t="s">
        <v>2504</v>
      </c>
      <c r="P22" s="364" t="s">
        <v>1235</v>
      </c>
      <c r="Q22" s="364" t="s">
        <v>1328</v>
      </c>
      <c r="R22" s="362"/>
      <c r="S22" s="362"/>
      <c r="T22" s="365" t="s">
        <v>1318</v>
      </c>
      <c r="U22" s="365" t="s">
        <v>1319</v>
      </c>
      <c r="V22" s="365" t="s">
        <v>1320</v>
      </c>
      <c r="W22" s="365" t="s">
        <v>1321</v>
      </c>
      <c r="X22" s="365" t="s">
        <v>2414</v>
      </c>
      <c r="Y22" s="364" t="s">
        <v>2415</v>
      </c>
      <c r="Z22" s="366"/>
      <c r="AA22" s="363"/>
      <c r="AB22" s="363">
        <v>1000</v>
      </c>
      <c r="AC22" s="363">
        <v>1500</v>
      </c>
      <c r="AD22" s="363">
        <v>2000</v>
      </c>
      <c r="AE22" s="363">
        <v>2500</v>
      </c>
      <c r="AF22" s="367">
        <v>3000</v>
      </c>
      <c r="AH22" s="388"/>
      <c r="AI22" s="389"/>
      <c r="AJ22" s="389"/>
      <c r="AK22" s="389"/>
      <c r="AL22" s="390" t="s">
        <v>2310</v>
      </c>
      <c r="AM22" s="399">
        <f>IF(AM20=1,1,AM20/AM21)</f>
        <v>0</v>
      </c>
      <c r="AN22" s="329"/>
      <c r="AO22" s="310"/>
      <c r="AP22" s="289">
        <v>95</v>
      </c>
      <c r="AQ22" s="290">
        <f>IF($D$8=1,I19,IF($D$8=2,I32,IF($D$8=3,I45,IF($D$8=4,I58,IF($D$8=5,I71,0)))))</f>
        <v>0</v>
      </c>
      <c r="AR22" s="290">
        <f t="shared" si="2"/>
        <v>0</v>
      </c>
      <c r="AS22" s="290">
        <f t="shared" si="2"/>
        <v>0</v>
      </c>
      <c r="AT22" s="290">
        <f t="shared" si="2"/>
        <v>0</v>
      </c>
      <c r="AU22" s="290">
        <f t="shared" si="2"/>
        <v>0</v>
      </c>
      <c r="AW22" s="1085" t="s">
        <v>2482</v>
      </c>
      <c r="AX22" s="1085"/>
      <c r="AY22" s="1085"/>
      <c r="AZ22" s="280" t="s">
        <v>2483</v>
      </c>
      <c r="BA22" s="1085" t="s">
        <v>2484</v>
      </c>
      <c r="BB22" s="1085"/>
      <c r="BC22" s="1085"/>
      <c r="BD22" s="314"/>
      <c r="BE22" s="312"/>
    </row>
    <row r="23" spans="6:57">
      <c r="F23" s="378" t="s">
        <v>1316</v>
      </c>
      <c r="G23" s="302">
        <v>-10</v>
      </c>
      <c r="H23" s="308">
        <v>1</v>
      </c>
      <c r="I23" s="302">
        <v>0.08</v>
      </c>
      <c r="J23" s="308">
        <v>0.1</v>
      </c>
      <c r="K23" s="308">
        <v>0.13</v>
      </c>
      <c r="L23" s="308">
        <v>0.14000000000000001</v>
      </c>
      <c r="M23" s="311">
        <v>0.16</v>
      </c>
      <c r="O23" s="301" t="s">
        <v>1318</v>
      </c>
      <c r="P23" s="300">
        <v>2.19</v>
      </c>
      <c r="Q23" s="300">
        <v>2.19</v>
      </c>
      <c r="S23" s="301" t="s">
        <v>1322</v>
      </c>
      <c r="T23" s="300">
        <v>0.92</v>
      </c>
      <c r="U23" s="300">
        <v>0.84</v>
      </c>
      <c r="V23" s="300">
        <v>0.84</v>
      </c>
      <c r="W23" s="300">
        <v>0.84</v>
      </c>
      <c r="X23" s="300">
        <v>1</v>
      </c>
      <c r="Y23" s="300">
        <v>0</v>
      </c>
      <c r="AA23" s="327">
        <v>10</v>
      </c>
      <c r="AB23" s="301">
        <v>51</v>
      </c>
      <c r="AC23" s="301">
        <v>89</v>
      </c>
      <c r="AD23" s="301">
        <v>136</v>
      </c>
      <c r="AE23" s="301">
        <v>186</v>
      </c>
      <c r="AF23" s="317">
        <v>231</v>
      </c>
      <c r="AH23" s="391"/>
      <c r="AI23" s="390"/>
      <c r="AJ23" s="390"/>
      <c r="AK23" s="389"/>
      <c r="AL23" s="390" t="s">
        <v>2312</v>
      </c>
      <c r="AM23" s="399">
        <f>P3</f>
        <v>0.17100000000000001</v>
      </c>
      <c r="AN23" s="331"/>
      <c r="AO23" s="310"/>
      <c r="AP23" s="289">
        <v>100</v>
      </c>
      <c r="AQ23" s="290">
        <f>IF($D$8=1,I20,IF($D$8=2,I33,IF($D$8=3,I46,IF($D$8=4,I59,IF($D$8=5,I72,0)))))</f>
        <v>0</v>
      </c>
      <c r="AR23" s="290">
        <f t="shared" si="2"/>
        <v>0</v>
      </c>
      <c r="AS23" s="290">
        <f t="shared" si="2"/>
        <v>0</v>
      </c>
      <c r="AT23" s="290">
        <f t="shared" si="2"/>
        <v>0</v>
      </c>
      <c r="AU23" s="290">
        <f t="shared" si="2"/>
        <v>0</v>
      </c>
      <c r="AW23" s="281" t="s">
        <v>1194</v>
      </c>
      <c r="AX23" s="281" t="s">
        <v>2485</v>
      </c>
      <c r="AY23" s="282" t="s">
        <v>2486</v>
      </c>
      <c r="AZ23" s="283" t="s">
        <v>2486</v>
      </c>
      <c r="BA23" s="281" t="s">
        <v>1194</v>
      </c>
      <c r="BB23" s="281" t="s">
        <v>2485</v>
      </c>
      <c r="BC23" s="282" t="s">
        <v>2486</v>
      </c>
      <c r="BD23" s="314"/>
      <c r="BE23" s="312"/>
    </row>
    <row r="24" spans="6:57">
      <c r="F24" s="376"/>
      <c r="G24" s="315">
        <v>0</v>
      </c>
      <c r="H24" s="304">
        <v>2</v>
      </c>
      <c r="I24" s="315">
        <v>7.0000000000000007E-2</v>
      </c>
      <c r="J24" s="304">
        <v>0.09</v>
      </c>
      <c r="K24" s="304">
        <v>0.106</v>
      </c>
      <c r="L24" s="304">
        <v>0.12</v>
      </c>
      <c r="M24" s="314">
        <v>0.15</v>
      </c>
      <c r="O24" s="301" t="s">
        <v>1319</v>
      </c>
      <c r="P24" s="300">
        <v>1.45</v>
      </c>
      <c r="Q24" s="300">
        <v>1.31</v>
      </c>
      <c r="S24" s="301" t="s">
        <v>1323</v>
      </c>
      <c r="T24" s="300">
        <v>0.94</v>
      </c>
      <c r="U24" s="300">
        <v>0.93</v>
      </c>
      <c r="V24" s="300">
        <v>0.89</v>
      </c>
      <c r="W24" s="300">
        <v>0.9</v>
      </c>
      <c r="X24" s="300">
        <v>1</v>
      </c>
      <c r="Y24" s="300">
        <v>0</v>
      </c>
      <c r="AA24" s="327">
        <v>20</v>
      </c>
      <c r="AB24" s="301">
        <v>68</v>
      </c>
      <c r="AC24" s="301">
        <v>119</v>
      </c>
      <c r="AD24" s="301">
        <v>183</v>
      </c>
      <c r="AE24" s="301">
        <v>250</v>
      </c>
      <c r="AF24" s="317">
        <v>310</v>
      </c>
      <c r="AH24" s="391"/>
      <c r="AI24" s="390"/>
      <c r="AJ24" s="390"/>
      <c r="AK24" s="389"/>
      <c r="AL24" s="390" t="s">
        <v>2311</v>
      </c>
      <c r="AM24" s="399">
        <f>O3</f>
        <v>0.82899999999999996</v>
      </c>
      <c r="AO24" s="310"/>
      <c r="AP24" s="289">
        <v>105</v>
      </c>
      <c r="AQ24" s="290">
        <f>IF($D$8=1,I21,IF($D$8=2,I34,IF($D$8=3,I47,IF($D$8=4,I60,IF($D$8=5,I73,0)))))</f>
        <v>0</v>
      </c>
      <c r="AR24" s="290">
        <f t="shared" si="2"/>
        <v>0</v>
      </c>
      <c r="AS24" s="290">
        <f t="shared" si="2"/>
        <v>0</v>
      </c>
      <c r="AT24" s="290">
        <f t="shared" si="2"/>
        <v>0</v>
      </c>
      <c r="AU24" s="290">
        <f t="shared" si="2"/>
        <v>0</v>
      </c>
      <c r="AW24" s="284">
        <f>BB16</f>
        <v>2500</v>
      </c>
      <c r="AX24" s="284">
        <f>BC19</f>
        <v>85</v>
      </c>
      <c r="AY24" s="285">
        <f>INDEX(AP19:AU24, MATCH(AX24,AP19:AP24,), MATCH(AW24,AP19:AU19,))</f>
        <v>0</v>
      </c>
      <c r="AZ24" s="286">
        <f>AY24+(BC24-AY24)*(AS27-BB16)/500</f>
        <v>0</v>
      </c>
      <c r="BA24" s="284">
        <f>BB16+500</f>
        <v>3000</v>
      </c>
      <c r="BB24" s="284">
        <f>BC19</f>
        <v>85</v>
      </c>
      <c r="BC24" s="285">
        <f>INDEX(AP19:AU24, MATCH(BB24,AP19:AP24,), MATCH(BA24,AP19:AU19,))</f>
        <v>0</v>
      </c>
      <c r="BD24" s="314"/>
      <c r="BE24" s="312"/>
    </row>
    <row r="25" spans="6:57">
      <c r="F25" s="376"/>
      <c r="G25" s="315">
        <v>10</v>
      </c>
      <c r="H25" s="304">
        <v>3</v>
      </c>
      <c r="I25" s="315">
        <v>7.0000000000000007E-2</v>
      </c>
      <c r="J25" s="304">
        <v>0.08</v>
      </c>
      <c r="K25" s="304">
        <v>0.1</v>
      </c>
      <c r="L25" s="304">
        <v>0.1</v>
      </c>
      <c r="M25" s="314">
        <v>0.12</v>
      </c>
      <c r="O25" s="301" t="s">
        <v>1320</v>
      </c>
      <c r="P25" s="300">
        <v>1</v>
      </c>
      <c r="Q25" s="300">
        <v>1</v>
      </c>
      <c r="S25" s="301" t="s">
        <v>1324</v>
      </c>
      <c r="T25" s="300">
        <v>1</v>
      </c>
      <c r="U25" s="300">
        <v>1</v>
      </c>
      <c r="V25" s="300">
        <v>1</v>
      </c>
      <c r="W25" s="300">
        <v>1</v>
      </c>
      <c r="X25" s="300">
        <v>1</v>
      </c>
      <c r="Y25" s="300">
        <v>0</v>
      </c>
      <c r="AA25" s="327">
        <v>30</v>
      </c>
      <c r="AB25" s="301">
        <v>86</v>
      </c>
      <c r="AC25" s="301">
        <v>151</v>
      </c>
      <c r="AD25" s="301">
        <v>231</v>
      </c>
      <c r="AE25" s="301">
        <v>316</v>
      </c>
      <c r="AF25" s="317">
        <v>392</v>
      </c>
      <c r="AH25" s="388"/>
      <c r="AI25" s="389"/>
      <c r="AJ25" s="389"/>
      <c r="AK25" s="389"/>
      <c r="AL25" s="390" t="s">
        <v>2446</v>
      </c>
      <c r="AM25" s="399">
        <f>AM24*AM19+AM23*AM22</f>
        <v>0</v>
      </c>
      <c r="AN25" s="332"/>
      <c r="AO25" s="310"/>
      <c r="AP25" s="315"/>
      <c r="AU25" s="314"/>
      <c r="AW25" s="315"/>
      <c r="BD25" s="314"/>
      <c r="BE25" s="312"/>
    </row>
    <row r="26" spans="6:57">
      <c r="F26" s="376"/>
      <c r="G26" s="315">
        <v>20</v>
      </c>
      <c r="H26" s="304">
        <v>4</v>
      </c>
      <c r="I26" s="315">
        <v>0.06</v>
      </c>
      <c r="J26" s="304">
        <v>0.08</v>
      </c>
      <c r="K26" s="304">
        <v>0.09</v>
      </c>
      <c r="L26" s="304">
        <v>0.1</v>
      </c>
      <c r="M26" s="314">
        <v>0.11</v>
      </c>
      <c r="O26" s="301" t="s">
        <v>1321</v>
      </c>
      <c r="P26" s="300">
        <v>0.84</v>
      </c>
      <c r="Q26" s="300">
        <v>0.83</v>
      </c>
      <c r="S26" s="301" t="s">
        <v>1325</v>
      </c>
      <c r="T26" s="300">
        <v>1.39</v>
      </c>
      <c r="U26" s="300">
        <v>1.55</v>
      </c>
      <c r="V26" s="300">
        <v>1.66</v>
      </c>
      <c r="W26" s="300">
        <v>1.84</v>
      </c>
      <c r="X26" s="300">
        <v>1</v>
      </c>
      <c r="Y26" s="300">
        <v>0</v>
      </c>
      <c r="AA26" s="327">
        <v>40</v>
      </c>
      <c r="AB26" s="301">
        <v>105</v>
      </c>
      <c r="AC26" s="301">
        <v>184</v>
      </c>
      <c r="AD26" s="301">
        <v>282</v>
      </c>
      <c r="AE26" s="301">
        <v>385</v>
      </c>
      <c r="AF26" s="317">
        <v>478</v>
      </c>
      <c r="AH26" s="388"/>
      <c r="AI26" s="389"/>
      <c r="AJ26" s="389"/>
      <c r="AK26" s="389"/>
      <c r="AL26" s="390" t="s">
        <v>2447</v>
      </c>
      <c r="AM26" s="399">
        <f>AM22</f>
        <v>0</v>
      </c>
      <c r="AN26" s="332"/>
      <c r="AO26" s="310"/>
      <c r="AP26" s="315"/>
      <c r="AU26" s="314"/>
      <c r="AW26" s="1085" t="s">
        <v>2487</v>
      </c>
      <c r="AX26" s="1085"/>
      <c r="AY26" s="1085"/>
      <c r="AZ26" s="280" t="s">
        <v>2483</v>
      </c>
      <c r="BA26" s="1085" t="s">
        <v>2488</v>
      </c>
      <c r="BB26" s="1085"/>
      <c r="BC26" s="1085"/>
      <c r="BD26" s="314"/>
      <c r="BE26" s="312"/>
    </row>
    <row r="27" spans="6:57">
      <c r="F27" s="376"/>
      <c r="G27" s="315">
        <v>30</v>
      </c>
      <c r="H27" s="304">
        <v>5</v>
      </c>
      <c r="I27" s="315">
        <v>0.06</v>
      </c>
      <c r="J27" s="304">
        <v>7.0000000000000007E-2</v>
      </c>
      <c r="K27" s="304">
        <v>7.0000000000000007E-2</v>
      </c>
      <c r="L27" s="304">
        <v>0.08</v>
      </c>
      <c r="M27" s="314">
        <v>0.1</v>
      </c>
      <c r="S27" s="301" t="s">
        <v>1326</v>
      </c>
      <c r="T27" s="300">
        <v>1.87</v>
      </c>
      <c r="U27" s="300">
        <v>2.21</v>
      </c>
      <c r="V27" s="300">
        <v>2.5</v>
      </c>
      <c r="W27" s="300">
        <v>2.79</v>
      </c>
      <c r="X27" s="300">
        <v>1</v>
      </c>
      <c r="Y27" s="300">
        <v>0</v>
      </c>
      <c r="AA27" s="327">
        <v>50</v>
      </c>
      <c r="AB27" s="301">
        <v>124</v>
      </c>
      <c r="AC27" s="301">
        <v>218</v>
      </c>
      <c r="AD27" s="301">
        <v>334</v>
      </c>
      <c r="AE27" s="301">
        <v>457</v>
      </c>
      <c r="AF27" s="317">
        <v>567</v>
      </c>
      <c r="AH27" s="392"/>
      <c r="AI27" s="393"/>
      <c r="AJ27" s="393"/>
      <c r="AK27" s="389"/>
      <c r="AL27" s="390" t="s">
        <v>2314</v>
      </c>
      <c r="AM27" s="405">
        <f>AM14*AM25</f>
        <v>0</v>
      </c>
      <c r="AN27" s="329"/>
      <c r="AO27" s="310"/>
      <c r="AP27" s="296" t="s">
        <v>2495</v>
      </c>
      <c r="AQ27" s="287">
        <f>AZ24-(((AZ24-AZ28)/(AX28-AX24))*(AU27-BC19))</f>
        <v>0</v>
      </c>
      <c r="AR27" s="295" t="s">
        <v>2489</v>
      </c>
      <c r="AS27" s="409">
        <f>AM3</f>
        <v>2785.77</v>
      </c>
      <c r="AT27" s="295" t="s">
        <v>2490</v>
      </c>
      <c r="AU27" s="409">
        <f>AI3</f>
        <v>84</v>
      </c>
      <c r="AW27" s="281" t="s">
        <v>1194</v>
      </c>
      <c r="AX27" s="281" t="s">
        <v>2485</v>
      </c>
      <c r="AY27" s="282" t="s">
        <v>2486</v>
      </c>
      <c r="AZ27" s="283" t="s">
        <v>2486</v>
      </c>
      <c r="BA27" s="281" t="s">
        <v>1194</v>
      </c>
      <c r="BB27" s="281" t="s">
        <v>2485</v>
      </c>
      <c r="BC27" s="282" t="s">
        <v>2486</v>
      </c>
      <c r="BD27" s="314"/>
      <c r="BE27" s="312"/>
    </row>
    <row r="28" spans="6:57">
      <c r="F28" s="376"/>
      <c r="G28" s="315">
        <v>40</v>
      </c>
      <c r="H28" s="304">
        <v>6</v>
      </c>
      <c r="I28" s="315">
        <v>0.05</v>
      </c>
      <c r="J28" s="304">
        <v>0.06</v>
      </c>
      <c r="K28" s="304">
        <v>7.0000000000000007E-2</v>
      </c>
      <c r="L28" s="304">
        <v>0.08</v>
      </c>
      <c r="M28" s="314">
        <v>0.08</v>
      </c>
      <c r="X28" s="301" t="s">
        <v>2448</v>
      </c>
      <c r="AA28" s="327">
        <v>60</v>
      </c>
      <c r="AB28" s="301">
        <v>145</v>
      </c>
      <c r="AC28" s="301">
        <v>254</v>
      </c>
      <c r="AD28" s="301">
        <v>388</v>
      </c>
      <c r="AE28" s="301">
        <v>531</v>
      </c>
      <c r="AF28" s="317">
        <v>659</v>
      </c>
      <c r="AH28" s="392"/>
      <c r="AI28" s="393"/>
      <c r="AJ28" s="393"/>
      <c r="AK28" s="389"/>
      <c r="AL28" s="390" t="s">
        <v>2315</v>
      </c>
      <c r="AM28" s="405">
        <f>AM15*AM25</f>
        <v>0</v>
      </c>
      <c r="AN28" s="332"/>
      <c r="AO28" s="310"/>
      <c r="AP28" s="315"/>
      <c r="AU28" s="314"/>
      <c r="AW28" s="284">
        <f>BB16</f>
        <v>2500</v>
      </c>
      <c r="AX28" s="284">
        <f>AX24+5</f>
        <v>90</v>
      </c>
      <c r="AY28" s="285">
        <f>INDEX(AP19:AU24, MATCH(AX28,AP19:AP24,), MATCH(AW28,AP19:AU19,))</f>
        <v>0</v>
      </c>
      <c r="AZ28" s="286">
        <f>AY28+(BC28-AY28)*(AS27-BB16)/500</f>
        <v>0</v>
      </c>
      <c r="BA28" s="284">
        <f>BB16+500</f>
        <v>3000</v>
      </c>
      <c r="BB28" s="284">
        <f>BB24+5</f>
        <v>90</v>
      </c>
      <c r="BC28" s="285">
        <f>INDEX(AP19:AU24, MATCH(BB28,AP19:AP24,), MATCH(BA28,AP19:AU19,))</f>
        <v>0</v>
      </c>
      <c r="BD28" s="314"/>
      <c r="BE28" s="312"/>
    </row>
    <row r="29" spans="6:57" ht="13.5" thickBot="1">
      <c r="F29" s="376"/>
      <c r="G29" s="315"/>
      <c r="I29" s="315"/>
      <c r="M29" s="314"/>
      <c r="S29" s="301" t="s">
        <v>1322</v>
      </c>
      <c r="T29" s="300">
        <v>0.9</v>
      </c>
      <c r="U29" s="300">
        <v>0.88</v>
      </c>
      <c r="V29" s="300">
        <v>0.85</v>
      </c>
      <c r="W29" s="319">
        <v>0.84</v>
      </c>
      <c r="X29" s="300">
        <v>0.27</v>
      </c>
      <c r="AA29" s="327">
        <v>70</v>
      </c>
      <c r="AB29" s="301">
        <v>166</v>
      </c>
      <c r="AC29" s="301">
        <v>290</v>
      </c>
      <c r="AD29" s="301">
        <v>445</v>
      </c>
      <c r="AE29" s="301">
        <v>608</v>
      </c>
      <c r="AF29" s="317">
        <v>754</v>
      </c>
      <c r="AH29" s="394"/>
      <c r="AI29" s="395"/>
      <c r="AJ29" s="395"/>
      <c r="AK29" s="396"/>
      <c r="AL29" s="397" t="s">
        <v>2316</v>
      </c>
      <c r="AM29" s="406">
        <f>AM16*AM26</f>
        <v>0</v>
      </c>
      <c r="AN29" s="332"/>
      <c r="AO29" s="310"/>
      <c r="AP29" s="315"/>
      <c r="AU29" s="314"/>
      <c r="AW29" s="315"/>
      <c r="BD29" s="314"/>
      <c r="BE29" s="312"/>
    </row>
    <row r="30" spans="6:57">
      <c r="F30" s="376"/>
      <c r="G30" s="315">
        <v>0</v>
      </c>
      <c r="H30" s="304">
        <v>1</v>
      </c>
      <c r="I30" s="315">
        <v>7.0000000000000007E-2</v>
      </c>
      <c r="J30" s="304">
        <v>0.09</v>
      </c>
      <c r="K30" s="304">
        <v>0.11</v>
      </c>
      <c r="L30" s="304">
        <v>0.12</v>
      </c>
      <c r="M30" s="314">
        <v>0.13</v>
      </c>
      <c r="S30" s="301" t="s">
        <v>1323</v>
      </c>
      <c r="T30" s="300">
        <v>0.96</v>
      </c>
      <c r="U30" s="300">
        <v>0.93</v>
      </c>
      <c r="V30" s="300">
        <v>0.91</v>
      </c>
      <c r="W30" s="319">
        <v>0.91</v>
      </c>
      <c r="X30" s="300">
        <v>0.56999999999999995</v>
      </c>
      <c r="AF30" s="312"/>
      <c r="AN30" s="329"/>
      <c r="AO30" s="310"/>
      <c r="AP30" s="1071" t="s">
        <v>2492</v>
      </c>
      <c r="AQ30" s="1072"/>
      <c r="AR30" s="1072"/>
      <c r="AS30" s="1072"/>
      <c r="AT30" s="1072"/>
      <c r="AU30" s="1073"/>
      <c r="AW30" s="1082" t="s">
        <v>2478</v>
      </c>
      <c r="AX30" s="1083"/>
      <c r="AY30" s="1083"/>
      <c r="AZ30" s="1083"/>
      <c r="BA30" s="1084"/>
      <c r="BB30" s="1080">
        <f>IF(AS43&gt;2500,2500,SUM(AW31:BA31))</f>
        <v>2500</v>
      </c>
      <c r="BD30" s="314"/>
      <c r="BE30" s="312"/>
    </row>
    <row r="31" spans="6:57">
      <c r="F31" s="376"/>
      <c r="G31" s="315">
        <v>85</v>
      </c>
      <c r="H31" s="304">
        <v>2</v>
      </c>
      <c r="I31" s="315">
        <v>0.08</v>
      </c>
      <c r="J31" s="304">
        <v>0.09</v>
      </c>
      <c r="K31" s="304">
        <v>0.11</v>
      </c>
      <c r="L31" s="304">
        <v>0.13</v>
      </c>
      <c r="M31" s="314">
        <v>0.14000000000000001</v>
      </c>
      <c r="S31" s="301" t="s">
        <v>1324</v>
      </c>
      <c r="T31" s="300">
        <v>1</v>
      </c>
      <c r="U31" s="300">
        <v>1</v>
      </c>
      <c r="V31" s="300">
        <v>1</v>
      </c>
      <c r="W31" s="319">
        <v>1</v>
      </c>
      <c r="X31" s="300">
        <v>1</v>
      </c>
      <c r="AA31" s="1042" t="s">
        <v>2508</v>
      </c>
      <c r="AB31" s="1042"/>
      <c r="AC31" s="1042"/>
      <c r="AD31" s="1042"/>
      <c r="AE31" s="1042"/>
      <c r="AF31" s="1043"/>
      <c r="AN31" s="324"/>
      <c r="AO31" s="310"/>
      <c r="AP31" s="1077" t="str">
        <f>AP17</f>
        <v>7F-Ducts in Conditioned Space</v>
      </c>
      <c r="AQ31" s="1078"/>
      <c r="AR31" s="1078"/>
      <c r="AS31" s="1078"/>
      <c r="AT31" s="1078"/>
      <c r="AU31" s="1079"/>
      <c r="AW31" s="278">
        <f>1000*(AS43&lt;1500)</f>
        <v>0</v>
      </c>
      <c r="AX31" s="278">
        <f>1500*(AS43&gt;1499)*(AS43&lt;2000)</f>
        <v>0</v>
      </c>
      <c r="AY31" s="278">
        <f>2000*(AS43&gt;1999)*(AS43&lt;2500)</f>
        <v>0</v>
      </c>
      <c r="AZ31" s="278">
        <f>2500*(AS43&gt;2499)*(AS43&lt;3000)</f>
        <v>2500</v>
      </c>
      <c r="BA31" s="278">
        <f>3000*(AS43&gt;2999)</f>
        <v>0</v>
      </c>
      <c r="BB31" s="1081"/>
      <c r="BD31" s="314"/>
      <c r="BE31" s="312"/>
    </row>
    <row r="32" spans="6:57">
      <c r="F32" s="376"/>
      <c r="G32" s="315">
        <v>90</v>
      </c>
      <c r="H32" s="304">
        <v>3</v>
      </c>
      <c r="I32" s="315">
        <v>0.08</v>
      </c>
      <c r="J32" s="304">
        <v>0.1</v>
      </c>
      <c r="K32" s="304">
        <v>0.11799999999999999</v>
      </c>
      <c r="L32" s="304">
        <v>0.13</v>
      </c>
      <c r="M32" s="314">
        <v>0.14000000000000001</v>
      </c>
      <c r="S32" s="301" t="s">
        <v>1325</v>
      </c>
      <c r="T32" s="300">
        <v>1.21</v>
      </c>
      <c r="U32" s="300">
        <v>1.35</v>
      </c>
      <c r="V32" s="300">
        <v>1.51</v>
      </c>
      <c r="W32" s="319">
        <v>1.47</v>
      </c>
      <c r="X32" s="300">
        <v>3.42</v>
      </c>
      <c r="AA32" s="301" t="s">
        <v>2506</v>
      </c>
      <c r="AB32" s="301">
        <v>107</v>
      </c>
      <c r="AC32" s="301">
        <v>174</v>
      </c>
      <c r="AD32" s="301">
        <v>229</v>
      </c>
      <c r="AE32" s="301">
        <v>277</v>
      </c>
      <c r="AF32" s="317">
        <v>315</v>
      </c>
      <c r="AN32" s="329"/>
      <c r="AO32" s="310"/>
      <c r="AP32" s="279"/>
      <c r="AQ32" s="1074" t="s">
        <v>2479</v>
      </c>
      <c r="AR32" s="1075"/>
      <c r="AS32" s="1075"/>
      <c r="AT32" s="1075"/>
      <c r="AU32" s="1076"/>
      <c r="AW32" s="315"/>
      <c r="BD32" s="314"/>
      <c r="BE32" s="312"/>
    </row>
    <row r="33" spans="6:57">
      <c r="F33" s="376"/>
      <c r="G33" s="315">
        <v>95</v>
      </c>
      <c r="H33" s="304">
        <v>4</v>
      </c>
      <c r="I33" s="315">
        <v>0.09</v>
      </c>
      <c r="J33" s="304">
        <v>0.13</v>
      </c>
      <c r="K33" s="304">
        <v>0.13</v>
      </c>
      <c r="L33" s="304">
        <v>0.14000000000000001</v>
      </c>
      <c r="M33" s="314">
        <v>0.16</v>
      </c>
      <c r="S33" s="301" t="s">
        <v>1326</v>
      </c>
      <c r="T33" s="300">
        <v>1.51</v>
      </c>
      <c r="U33" s="300">
        <v>1.8</v>
      </c>
      <c r="V33" s="300">
        <v>1.96</v>
      </c>
      <c r="W33" s="319">
        <v>2.09</v>
      </c>
      <c r="X33" s="300">
        <v>6.35</v>
      </c>
      <c r="AA33" s="301" t="s">
        <v>2507</v>
      </c>
      <c r="AB33" s="301">
        <v>0</v>
      </c>
      <c r="AC33" s="301">
        <v>0</v>
      </c>
      <c r="AD33" s="301">
        <v>0</v>
      </c>
      <c r="AE33" s="301">
        <v>0</v>
      </c>
      <c r="AF33" s="317">
        <v>0</v>
      </c>
      <c r="AN33" s="329"/>
      <c r="AO33" s="310"/>
      <c r="AP33" s="288" t="s">
        <v>1199</v>
      </c>
      <c r="AQ33" s="289">
        <v>1000</v>
      </c>
      <c r="AR33" s="289">
        <v>1500</v>
      </c>
      <c r="AS33" s="289">
        <v>2000</v>
      </c>
      <c r="AT33" s="289">
        <v>2500</v>
      </c>
      <c r="AU33" s="289">
        <v>3000</v>
      </c>
      <c r="AW33" s="1082" t="s">
        <v>2494</v>
      </c>
      <c r="AX33" s="1083"/>
      <c r="AY33" s="1083"/>
      <c r="AZ33" s="1083"/>
      <c r="BA33" s="1083"/>
      <c r="BB33" s="1083"/>
      <c r="BC33" s="1084"/>
      <c r="BD33" s="1080">
        <f>SUM(AW34:BC34)</f>
        <v>30</v>
      </c>
      <c r="BE33" s="312"/>
    </row>
    <row r="34" spans="6:57" ht="13.5" thickBot="1">
      <c r="F34" s="377"/>
      <c r="G34" s="341">
        <v>100</v>
      </c>
      <c r="H34" s="336">
        <v>5</v>
      </c>
      <c r="I34" s="341">
        <v>1</v>
      </c>
      <c r="J34" s="336">
        <v>0.13</v>
      </c>
      <c r="K34" s="336">
        <v>0.13</v>
      </c>
      <c r="L34" s="336">
        <v>0.15</v>
      </c>
      <c r="M34" s="342">
        <v>0.17</v>
      </c>
      <c r="N34" s="336"/>
      <c r="O34" s="336"/>
      <c r="P34" s="336"/>
      <c r="Q34" s="336"/>
      <c r="R34" s="336"/>
      <c r="S34" s="336"/>
      <c r="T34" s="336"/>
      <c r="U34" s="336"/>
      <c r="V34" s="336"/>
      <c r="W34" s="336"/>
      <c r="X34" s="336"/>
      <c r="Y34" s="344"/>
      <c r="Z34" s="344"/>
      <c r="AA34" s="336"/>
      <c r="AB34" s="336"/>
      <c r="AC34" s="336"/>
      <c r="AD34" s="336"/>
      <c r="AE34" s="336"/>
      <c r="AF34" s="337"/>
      <c r="AN34" s="333"/>
      <c r="AO34" s="310"/>
      <c r="AP34" s="289">
        <v>10</v>
      </c>
      <c r="AQ34" s="291">
        <f>IF($D$8=1,AB10,IF($D$8=2,AB23,IF($D$8=3,AB36,IF($D$8=4,AB49,IF($D$8=5,AB62,0)))))</f>
        <v>0</v>
      </c>
      <c r="AR34" s="291">
        <f t="shared" ref="AR34:AU40" si="3">IF($D$8=1,AC10,IF($D$8=2,AC23,IF($D$8=3,AC36,IF($D$8=4,AC49,IF($D$8=5,AC62,0)))))</f>
        <v>0</v>
      </c>
      <c r="AS34" s="291">
        <f t="shared" si="3"/>
        <v>0</v>
      </c>
      <c r="AT34" s="291">
        <f t="shared" si="3"/>
        <v>0</v>
      </c>
      <c r="AU34" s="291">
        <f t="shared" si="3"/>
        <v>0</v>
      </c>
      <c r="AW34" s="278">
        <f>10*(AU43&lt;20)</f>
        <v>10</v>
      </c>
      <c r="AX34" s="278">
        <f>20*(AU43&gt;-1)*(AU43&lt;30)</f>
        <v>20</v>
      </c>
      <c r="AY34" s="278">
        <f>30*(AU43&gt;29)*(AU43&lt;40)</f>
        <v>0</v>
      </c>
      <c r="AZ34" s="278">
        <f>40*(AU43&gt;39)*(AU43&lt;50)</f>
        <v>0</v>
      </c>
      <c r="BA34" s="278">
        <f>50*(AU43&gt;49)*(AU43&lt;60)</f>
        <v>0</v>
      </c>
      <c r="BB34" s="278">
        <f>60*(AU43&gt;59)*(AU43&lt;70)</f>
        <v>0</v>
      </c>
      <c r="BC34" s="278">
        <f>70*(AU43&gt;69)</f>
        <v>0</v>
      </c>
      <c r="BD34" s="1081"/>
      <c r="BE34" s="312"/>
    </row>
    <row r="35" spans="6:57" ht="13.5" thickBot="1">
      <c r="F35" s="374" t="s">
        <v>2505</v>
      </c>
      <c r="G35" s="362"/>
      <c r="H35" s="362"/>
      <c r="I35" s="363">
        <v>1000</v>
      </c>
      <c r="J35" s="363">
        <v>1500</v>
      </c>
      <c r="K35" s="363">
        <v>2000</v>
      </c>
      <c r="L35" s="363">
        <v>2500</v>
      </c>
      <c r="M35" s="363">
        <v>3000</v>
      </c>
      <c r="N35" s="362"/>
      <c r="O35" s="363" t="s">
        <v>2504</v>
      </c>
      <c r="P35" s="364" t="s">
        <v>1235</v>
      </c>
      <c r="Q35" s="364" t="s">
        <v>1328</v>
      </c>
      <c r="R35" s="362"/>
      <c r="S35" s="362"/>
      <c r="T35" s="365" t="s">
        <v>1318</v>
      </c>
      <c r="U35" s="365" t="s">
        <v>1319</v>
      </c>
      <c r="V35" s="365" t="s">
        <v>1320</v>
      </c>
      <c r="W35" s="365" t="s">
        <v>1321</v>
      </c>
      <c r="X35" s="365" t="s">
        <v>2414</v>
      </c>
      <c r="Y35" s="364" t="s">
        <v>2415</v>
      </c>
      <c r="Z35" s="366"/>
      <c r="AA35" s="363"/>
      <c r="AB35" s="363">
        <v>1000</v>
      </c>
      <c r="AC35" s="363">
        <v>1500</v>
      </c>
      <c r="AD35" s="363">
        <v>2000</v>
      </c>
      <c r="AE35" s="363">
        <v>2500</v>
      </c>
      <c r="AF35" s="367">
        <v>3000</v>
      </c>
      <c r="AN35" s="333"/>
      <c r="AO35" s="310"/>
      <c r="AP35" s="289">
        <v>20</v>
      </c>
      <c r="AQ35" s="291">
        <f t="shared" ref="AQ35:AQ40" si="4">IF($D$8=1,AB11,IF($D$8=2,AB24,IF($D$8=3,AB37,IF($D$8=4,AB50,IF($D$8=5,AB63,0)))))</f>
        <v>0</v>
      </c>
      <c r="AR35" s="291">
        <f t="shared" si="3"/>
        <v>0</v>
      </c>
      <c r="AS35" s="291">
        <f t="shared" si="3"/>
        <v>0</v>
      </c>
      <c r="AT35" s="291">
        <f t="shared" si="3"/>
        <v>0</v>
      </c>
      <c r="AU35" s="291">
        <f t="shared" si="3"/>
        <v>0</v>
      </c>
      <c r="AW35" s="315"/>
      <c r="BD35" s="314"/>
      <c r="BE35" s="312"/>
    </row>
    <row r="36" spans="6:57">
      <c r="F36" s="378" t="s">
        <v>1317</v>
      </c>
      <c r="G36" s="302">
        <v>-10</v>
      </c>
      <c r="H36" s="308">
        <v>1</v>
      </c>
      <c r="I36" s="302">
        <v>0.13800000000000001</v>
      </c>
      <c r="J36" s="308">
        <v>0.157</v>
      </c>
      <c r="K36" s="308">
        <v>0.17599999999999999</v>
      </c>
      <c r="L36" s="308">
        <v>0.19500000000000001</v>
      </c>
      <c r="M36" s="311">
        <v>0.217</v>
      </c>
      <c r="O36" s="301" t="s">
        <v>1318</v>
      </c>
      <c r="P36" s="300">
        <v>2.02</v>
      </c>
      <c r="Q36" s="300">
        <v>2.19</v>
      </c>
      <c r="S36" s="301" t="s">
        <v>1322</v>
      </c>
      <c r="T36" s="300">
        <v>0.87</v>
      </c>
      <c r="U36" s="300">
        <v>0.83</v>
      </c>
      <c r="V36" s="300">
        <v>0.78</v>
      </c>
      <c r="W36" s="300">
        <v>0.75</v>
      </c>
      <c r="X36" s="326">
        <v>0.97499999999999998</v>
      </c>
      <c r="Y36" s="326">
        <v>2.5000000000000001E-2</v>
      </c>
      <c r="AA36" s="327">
        <v>10</v>
      </c>
      <c r="AB36" s="301">
        <v>111</v>
      </c>
      <c r="AC36" s="301">
        <v>166</v>
      </c>
      <c r="AD36" s="301">
        <v>214</v>
      </c>
      <c r="AE36" s="301">
        <v>264</v>
      </c>
      <c r="AF36" s="317">
        <v>297</v>
      </c>
      <c r="AN36" s="331"/>
      <c r="AO36" s="310"/>
      <c r="AP36" s="289">
        <v>30</v>
      </c>
      <c r="AQ36" s="291">
        <f t="shared" si="4"/>
        <v>0</v>
      </c>
      <c r="AR36" s="291">
        <f t="shared" si="3"/>
        <v>0</v>
      </c>
      <c r="AS36" s="291">
        <f t="shared" si="3"/>
        <v>0</v>
      </c>
      <c r="AT36" s="291">
        <f t="shared" si="3"/>
        <v>0</v>
      </c>
      <c r="AU36" s="291">
        <f t="shared" si="3"/>
        <v>0</v>
      </c>
      <c r="AW36" s="1085" t="s">
        <v>2482</v>
      </c>
      <c r="AX36" s="1085"/>
      <c r="AY36" s="1085"/>
      <c r="AZ36" s="280" t="s">
        <v>2483</v>
      </c>
      <c r="BA36" s="1085" t="s">
        <v>2484</v>
      </c>
      <c r="BB36" s="1085"/>
      <c r="BC36" s="1085"/>
      <c r="BD36" s="314"/>
      <c r="BE36" s="312"/>
    </row>
    <row r="37" spans="6:57">
      <c r="F37" s="376"/>
      <c r="G37" s="315">
        <v>0</v>
      </c>
      <c r="H37" s="304">
        <v>2</v>
      </c>
      <c r="I37" s="315">
        <v>0.13100000000000001</v>
      </c>
      <c r="J37" s="304">
        <v>0.14499999999999999</v>
      </c>
      <c r="K37" s="304">
        <v>0.16400000000000001</v>
      </c>
      <c r="L37" s="304">
        <v>0.184</v>
      </c>
      <c r="M37" s="314">
        <v>0.19900000000000001</v>
      </c>
      <c r="O37" s="301" t="s">
        <v>1319</v>
      </c>
      <c r="P37" s="300">
        <v>1.28</v>
      </c>
      <c r="Q37" s="300">
        <v>1.3</v>
      </c>
      <c r="S37" s="301" t="s">
        <v>1323</v>
      </c>
      <c r="T37" s="300">
        <v>0.92</v>
      </c>
      <c r="U37" s="300">
        <v>0.89</v>
      </c>
      <c r="V37" s="300">
        <v>0.86</v>
      </c>
      <c r="W37" s="300">
        <v>0.86</v>
      </c>
      <c r="X37" s="326">
        <v>0.97199999999999998</v>
      </c>
      <c r="Y37" s="326">
        <v>2.8000000000000001E-2</v>
      </c>
      <c r="AA37" s="327">
        <v>20</v>
      </c>
      <c r="AB37" s="301">
        <v>157</v>
      </c>
      <c r="AC37" s="301">
        <v>234</v>
      </c>
      <c r="AD37" s="301">
        <v>303</v>
      </c>
      <c r="AE37" s="301">
        <v>373</v>
      </c>
      <c r="AF37" s="317">
        <v>420</v>
      </c>
      <c r="AO37" s="310"/>
      <c r="AP37" s="289">
        <v>40</v>
      </c>
      <c r="AQ37" s="291">
        <f t="shared" si="4"/>
        <v>0</v>
      </c>
      <c r="AR37" s="291">
        <f t="shared" si="3"/>
        <v>0</v>
      </c>
      <c r="AS37" s="291">
        <f t="shared" si="3"/>
        <v>0</v>
      </c>
      <c r="AT37" s="291">
        <f t="shared" si="3"/>
        <v>0</v>
      </c>
      <c r="AU37" s="291">
        <f t="shared" si="3"/>
        <v>0</v>
      </c>
      <c r="AW37" s="281" t="s">
        <v>1194</v>
      </c>
      <c r="AX37" s="281" t="s">
        <v>2485</v>
      </c>
      <c r="AY37" s="282" t="s">
        <v>2486</v>
      </c>
      <c r="AZ37" s="283" t="s">
        <v>2486</v>
      </c>
      <c r="BA37" s="281" t="s">
        <v>1194</v>
      </c>
      <c r="BB37" s="281" t="s">
        <v>2485</v>
      </c>
      <c r="BC37" s="282" t="s">
        <v>2486</v>
      </c>
      <c r="BD37" s="314"/>
      <c r="BE37" s="312"/>
    </row>
    <row r="38" spans="6:57">
      <c r="F38" s="376"/>
      <c r="G38" s="315">
        <v>10</v>
      </c>
      <c r="H38" s="304">
        <v>3</v>
      </c>
      <c r="I38" s="315">
        <v>0.11799999999999999</v>
      </c>
      <c r="J38" s="304">
        <v>0.13300000000000001</v>
      </c>
      <c r="K38" s="304">
        <v>0.14799999999999999</v>
      </c>
      <c r="L38" s="304">
        <v>0.16600000000000001</v>
      </c>
      <c r="M38" s="314">
        <v>0.188</v>
      </c>
      <c r="O38" s="301" t="s">
        <v>1320</v>
      </c>
      <c r="P38" s="300">
        <v>1</v>
      </c>
      <c r="Q38" s="300">
        <v>1</v>
      </c>
      <c r="S38" s="301" t="s">
        <v>1324</v>
      </c>
      <c r="T38" s="300">
        <v>1</v>
      </c>
      <c r="U38" s="300">
        <v>1</v>
      </c>
      <c r="V38" s="300">
        <v>1</v>
      </c>
      <c r="W38" s="300">
        <v>1</v>
      </c>
      <c r="X38" s="326">
        <v>0.96899999999999997</v>
      </c>
      <c r="Y38" s="326">
        <v>3.1E-2</v>
      </c>
      <c r="AA38" s="327">
        <v>30</v>
      </c>
      <c r="AB38" s="301">
        <v>205</v>
      </c>
      <c r="AC38" s="301">
        <v>306</v>
      </c>
      <c r="AD38" s="301">
        <v>395</v>
      </c>
      <c r="AE38" s="301">
        <v>487</v>
      </c>
      <c r="AF38" s="317">
        <v>549</v>
      </c>
      <c r="AO38" s="310"/>
      <c r="AP38" s="289">
        <v>50</v>
      </c>
      <c r="AQ38" s="291">
        <f t="shared" si="4"/>
        <v>0</v>
      </c>
      <c r="AR38" s="291">
        <f t="shared" si="3"/>
        <v>0</v>
      </c>
      <c r="AS38" s="291">
        <f t="shared" si="3"/>
        <v>0</v>
      </c>
      <c r="AT38" s="291">
        <f t="shared" si="3"/>
        <v>0</v>
      </c>
      <c r="AU38" s="291">
        <f t="shared" si="3"/>
        <v>0</v>
      </c>
      <c r="AW38" s="284">
        <f>BB30</f>
        <v>2500</v>
      </c>
      <c r="AX38" s="284">
        <f>BD33</f>
        <v>30</v>
      </c>
      <c r="AY38" s="292">
        <f>INDEX(AP33:AU40, MATCH(AX38,AP33:AP40,), MATCH(AW38,AP33:AU33,))</f>
        <v>0</v>
      </c>
      <c r="AZ38" s="293">
        <f>AY38+(BC38-AY38)*(AS43-BB30)/500</f>
        <v>0</v>
      </c>
      <c r="BA38" s="284">
        <f>BB30+500</f>
        <v>3000</v>
      </c>
      <c r="BB38" s="284">
        <f>BD33</f>
        <v>30</v>
      </c>
      <c r="BC38" s="292">
        <f>INDEX(AP33:AU40, MATCH(BB38,AP33:AP40,), MATCH(BA38,AP33:AU33,))</f>
        <v>0</v>
      </c>
      <c r="BD38" s="314"/>
      <c r="BE38" s="312"/>
    </row>
    <row r="39" spans="6:57">
      <c r="F39" s="376"/>
      <c r="G39" s="315">
        <v>20</v>
      </c>
      <c r="H39" s="304">
        <v>4</v>
      </c>
      <c r="I39" s="315">
        <v>0.111</v>
      </c>
      <c r="J39" s="304">
        <v>0.122</v>
      </c>
      <c r="K39" s="304">
        <v>0.13800000000000001</v>
      </c>
      <c r="L39" s="304">
        <v>0.15</v>
      </c>
      <c r="M39" s="314">
        <v>0.17</v>
      </c>
      <c r="O39" s="301" t="s">
        <v>1321</v>
      </c>
      <c r="P39" s="300">
        <v>0.84</v>
      </c>
      <c r="Q39" s="300">
        <v>0.8</v>
      </c>
      <c r="S39" s="301" t="s">
        <v>1325</v>
      </c>
      <c r="T39" s="300">
        <v>1.4</v>
      </c>
      <c r="U39" s="300">
        <v>1.56</v>
      </c>
      <c r="V39" s="300">
        <v>1.68</v>
      </c>
      <c r="W39" s="300">
        <v>1.81</v>
      </c>
      <c r="X39" s="326">
        <v>0.96499999999999997</v>
      </c>
      <c r="Y39" s="326">
        <v>3.5000000000000003E-2</v>
      </c>
      <c r="AA39" s="327">
        <v>40</v>
      </c>
      <c r="AB39" s="301">
        <v>255</v>
      </c>
      <c r="AC39" s="301">
        <v>380</v>
      </c>
      <c r="AD39" s="301">
        <v>492</v>
      </c>
      <c r="AE39" s="301">
        <v>606</v>
      </c>
      <c r="AF39" s="317">
        <v>683</v>
      </c>
      <c r="AO39" s="310"/>
      <c r="AP39" s="289">
        <v>60</v>
      </c>
      <c r="AQ39" s="291">
        <f t="shared" si="4"/>
        <v>0</v>
      </c>
      <c r="AR39" s="291">
        <f t="shared" si="3"/>
        <v>0</v>
      </c>
      <c r="AS39" s="291">
        <f t="shared" si="3"/>
        <v>0</v>
      </c>
      <c r="AT39" s="291">
        <f t="shared" si="3"/>
        <v>0</v>
      </c>
      <c r="AU39" s="291">
        <f t="shared" si="3"/>
        <v>0</v>
      </c>
      <c r="AW39" s="315"/>
      <c r="BD39" s="314"/>
      <c r="BE39" s="312"/>
    </row>
    <row r="40" spans="6:57">
      <c r="F40" s="376"/>
      <c r="G40" s="315">
        <v>30</v>
      </c>
      <c r="H40" s="304">
        <v>5</v>
      </c>
      <c r="I40" s="315">
        <v>9.6000000000000002E-2</v>
      </c>
      <c r="J40" s="304">
        <v>0.11899999999999999</v>
      </c>
      <c r="K40" s="304">
        <v>0.129</v>
      </c>
      <c r="L40" s="304">
        <v>0.14099999999999999</v>
      </c>
      <c r="M40" s="314">
        <v>0.153</v>
      </c>
      <c r="S40" s="301" t="s">
        <v>1326</v>
      </c>
      <c r="T40" s="300">
        <v>1.84</v>
      </c>
      <c r="U40" s="300">
        <v>2.21</v>
      </c>
      <c r="V40" s="300">
        <v>2.4700000000000002</v>
      </c>
      <c r="W40" s="300">
        <v>2.76</v>
      </c>
      <c r="X40" s="326">
        <v>0.96199999999999997</v>
      </c>
      <c r="Y40" s="326">
        <v>3.7999999999999999E-2</v>
      </c>
      <c r="AA40" s="327">
        <v>50</v>
      </c>
      <c r="AB40" s="301">
        <v>307</v>
      </c>
      <c r="AC40" s="301">
        <v>458</v>
      </c>
      <c r="AD40" s="301">
        <v>592</v>
      </c>
      <c r="AE40" s="301">
        <v>730</v>
      </c>
      <c r="AF40" s="317">
        <v>823</v>
      </c>
      <c r="AO40" s="310"/>
      <c r="AP40" s="289">
        <v>70</v>
      </c>
      <c r="AQ40" s="291">
        <f t="shared" si="4"/>
        <v>0</v>
      </c>
      <c r="AR40" s="291">
        <f t="shared" si="3"/>
        <v>0</v>
      </c>
      <c r="AS40" s="291">
        <f t="shared" si="3"/>
        <v>0</v>
      </c>
      <c r="AT40" s="291">
        <f t="shared" si="3"/>
        <v>0</v>
      </c>
      <c r="AU40" s="291">
        <f t="shared" si="3"/>
        <v>0</v>
      </c>
      <c r="AW40" s="1085" t="s">
        <v>2487</v>
      </c>
      <c r="AX40" s="1085"/>
      <c r="AY40" s="1085"/>
      <c r="AZ40" s="280" t="s">
        <v>2483</v>
      </c>
      <c r="BA40" s="1085" t="s">
        <v>2488</v>
      </c>
      <c r="BB40" s="1085"/>
      <c r="BC40" s="1085"/>
      <c r="BD40" s="314"/>
      <c r="BE40" s="312"/>
    </row>
    <row r="41" spans="6:57">
      <c r="F41" s="376"/>
      <c r="G41" s="315">
        <v>40</v>
      </c>
      <c r="H41" s="304">
        <v>6</v>
      </c>
      <c r="I41" s="315">
        <v>8.5000000000000006E-2</v>
      </c>
      <c r="J41" s="304">
        <v>0.10299999999999999</v>
      </c>
      <c r="K41" s="304">
        <v>0.12</v>
      </c>
      <c r="L41" s="304">
        <v>0.13500000000000001</v>
      </c>
      <c r="M41" s="314">
        <v>0.14799999999999999</v>
      </c>
      <c r="X41" s="301" t="s">
        <v>2448</v>
      </c>
      <c r="AA41" s="327">
        <v>60</v>
      </c>
      <c r="AB41" s="301">
        <v>361</v>
      </c>
      <c r="AC41" s="301">
        <v>539</v>
      </c>
      <c r="AD41" s="301">
        <v>697</v>
      </c>
      <c r="AE41" s="301">
        <v>859</v>
      </c>
      <c r="AF41" s="317">
        <v>968</v>
      </c>
      <c r="AO41" s="310"/>
      <c r="AP41" s="315"/>
      <c r="AU41" s="314"/>
      <c r="AW41" s="281" t="s">
        <v>1194</v>
      </c>
      <c r="AX41" s="281" t="s">
        <v>2485</v>
      </c>
      <c r="AY41" s="282" t="s">
        <v>2486</v>
      </c>
      <c r="AZ41" s="283" t="s">
        <v>2486</v>
      </c>
      <c r="BA41" s="281" t="s">
        <v>1194</v>
      </c>
      <c r="BB41" s="281" t="s">
        <v>2485</v>
      </c>
      <c r="BC41" s="282" t="s">
        <v>2486</v>
      </c>
      <c r="BD41" s="314"/>
      <c r="BE41" s="312"/>
    </row>
    <row r="42" spans="6:57">
      <c r="F42" s="376"/>
      <c r="G42" s="315"/>
      <c r="I42" s="315"/>
      <c r="M42" s="314"/>
      <c r="S42" s="301" t="s">
        <v>1322</v>
      </c>
      <c r="T42" s="300">
        <v>0.9</v>
      </c>
      <c r="U42" s="300">
        <v>0.85</v>
      </c>
      <c r="V42" s="300">
        <v>0.8</v>
      </c>
      <c r="W42" s="319">
        <v>0.81</v>
      </c>
      <c r="X42" s="300">
        <v>0.28000000000000003</v>
      </c>
      <c r="AA42" s="327">
        <v>70</v>
      </c>
      <c r="AB42" s="301">
        <v>417</v>
      </c>
      <c r="AC42" s="301">
        <v>624</v>
      </c>
      <c r="AD42" s="301">
        <v>806</v>
      </c>
      <c r="AE42" s="301">
        <v>994</v>
      </c>
      <c r="AF42" s="317">
        <v>1119</v>
      </c>
      <c r="AO42" s="310"/>
      <c r="AP42" s="315"/>
      <c r="AU42" s="314"/>
      <c r="AW42" s="284">
        <f>BB30</f>
        <v>2500</v>
      </c>
      <c r="AX42" s="284">
        <f>IF('J1 Form'!H6&gt;70,70,BD33+10)</f>
        <v>40</v>
      </c>
      <c r="AY42" s="292">
        <f>INDEX(AP33:AU40, MATCH(AX42,AP33:AP40,), MATCH(AW42,AP33:AU33,))</f>
        <v>0</v>
      </c>
      <c r="AZ42" s="293">
        <f>AY42+(BC42-AY42)*(AS43-BB30)/500</f>
        <v>0</v>
      </c>
      <c r="BA42" s="284">
        <f>BB30+500</f>
        <v>3000</v>
      </c>
      <c r="BB42" s="284">
        <f>20+10</f>
        <v>30</v>
      </c>
      <c r="BC42" s="292">
        <f>INDEX(AP33:AU40, MATCH(BB42,AP33:AP40,), MATCH(BA42,AP33:AU33,))</f>
        <v>0</v>
      </c>
      <c r="BD42" s="314"/>
      <c r="BE42" s="312"/>
    </row>
    <row r="43" spans="6:57">
      <c r="F43" s="376"/>
      <c r="G43" s="315">
        <v>0</v>
      </c>
      <c r="H43" s="304">
        <v>1</v>
      </c>
      <c r="I43" s="315">
        <v>0.13700000000000001</v>
      </c>
      <c r="J43" s="304">
        <v>0.17</v>
      </c>
      <c r="K43" s="304">
        <v>0.2</v>
      </c>
      <c r="L43" s="304">
        <v>0.22</v>
      </c>
      <c r="M43" s="314">
        <v>0.24</v>
      </c>
      <c r="S43" s="301" t="s">
        <v>1323</v>
      </c>
      <c r="T43" s="300">
        <v>0.95</v>
      </c>
      <c r="U43" s="300">
        <v>0.91</v>
      </c>
      <c r="V43" s="300">
        <v>0.9</v>
      </c>
      <c r="W43" s="319">
        <v>0.91</v>
      </c>
      <c r="X43" s="300">
        <v>0.62</v>
      </c>
      <c r="AF43" s="312"/>
      <c r="AO43" s="310"/>
      <c r="AP43" s="297" t="s">
        <v>2496</v>
      </c>
      <c r="AQ43" s="294">
        <f>AZ38+(AZ42-AZ38)*(AU43-BD33)/10</f>
        <v>0</v>
      </c>
      <c r="AR43" s="298" t="s">
        <v>2489</v>
      </c>
      <c r="AS43" s="409">
        <f>AS27</f>
        <v>2785.77</v>
      </c>
      <c r="AT43" s="298" t="s">
        <v>1199</v>
      </c>
      <c r="AU43" s="409">
        <f>AJ3</f>
        <v>19</v>
      </c>
      <c r="AW43" s="328"/>
      <c r="AX43" s="334"/>
      <c r="AY43" s="334"/>
      <c r="AZ43" s="334"/>
      <c r="BA43" s="334"/>
      <c r="BB43" s="334"/>
      <c r="BC43" s="334"/>
      <c r="BD43" s="322"/>
      <c r="BE43" s="312"/>
    </row>
    <row r="44" spans="6:57">
      <c r="F44" s="376"/>
      <c r="G44" s="315">
        <v>85</v>
      </c>
      <c r="H44" s="304">
        <v>2</v>
      </c>
      <c r="I44" s="315">
        <v>0.14599999999999999</v>
      </c>
      <c r="J44" s="304">
        <v>0.161</v>
      </c>
      <c r="K44" s="304">
        <v>0.20300000000000001</v>
      </c>
      <c r="L44" s="304">
        <v>0.22</v>
      </c>
      <c r="M44" s="314">
        <v>0.24</v>
      </c>
      <c r="S44" s="301" t="s">
        <v>1324</v>
      </c>
      <c r="T44" s="300">
        <v>1</v>
      </c>
      <c r="U44" s="300">
        <v>1</v>
      </c>
      <c r="V44" s="300">
        <v>1</v>
      </c>
      <c r="W44" s="319">
        <v>1</v>
      </c>
      <c r="X44" s="300">
        <v>1</v>
      </c>
      <c r="AA44" s="1042" t="s">
        <v>2508</v>
      </c>
      <c r="AB44" s="1042"/>
      <c r="AC44" s="1042"/>
      <c r="AD44" s="1042"/>
      <c r="AE44" s="1042"/>
      <c r="AF44" s="1043"/>
      <c r="AO44" s="310"/>
      <c r="BE44" s="312"/>
    </row>
    <row r="45" spans="6:57">
      <c r="F45" s="376"/>
      <c r="G45" s="315">
        <v>90</v>
      </c>
      <c r="H45" s="304">
        <v>3</v>
      </c>
      <c r="I45" s="315">
        <v>0.157</v>
      </c>
      <c r="J45" s="304">
        <v>0.17499999999999999</v>
      </c>
      <c r="K45" s="304">
        <v>0.20300000000000001</v>
      </c>
      <c r="L45" s="304">
        <v>0.22</v>
      </c>
      <c r="M45" s="314">
        <v>0.24</v>
      </c>
      <c r="S45" s="301" t="s">
        <v>1325</v>
      </c>
      <c r="T45" s="300">
        <v>1.26</v>
      </c>
      <c r="U45" s="300">
        <v>1.35</v>
      </c>
      <c r="V45" s="300">
        <v>1.42</v>
      </c>
      <c r="W45" s="319">
        <v>1.56</v>
      </c>
      <c r="X45" s="300">
        <v>2.81</v>
      </c>
      <c r="AA45" s="301" t="s">
        <v>2506</v>
      </c>
      <c r="AB45" s="301">
        <v>189</v>
      </c>
      <c r="AC45" s="301">
        <v>276</v>
      </c>
      <c r="AD45" s="301">
        <v>361</v>
      </c>
      <c r="AE45" s="301">
        <v>431</v>
      </c>
      <c r="AF45" s="317">
        <v>481</v>
      </c>
      <c r="AO45" s="310"/>
      <c r="AP45" s="1071" t="s">
        <v>2497</v>
      </c>
      <c r="AQ45" s="1072"/>
      <c r="AR45" s="1072"/>
      <c r="AS45" s="1072"/>
      <c r="AT45" s="1072"/>
      <c r="AU45" s="1073"/>
      <c r="AV45" s="314"/>
      <c r="AW45" s="1082" t="s">
        <v>2478</v>
      </c>
      <c r="AX45" s="1083"/>
      <c r="AY45" s="1083"/>
      <c r="AZ45" s="1083"/>
      <c r="BA45" s="1084"/>
      <c r="BB45" s="1080">
        <f>IF(AS53&gt;2500,2500,SUM(AW46:BA46))</f>
        <v>2500</v>
      </c>
      <c r="BC45" s="308"/>
      <c r="BD45" s="311"/>
      <c r="BE45" s="312"/>
    </row>
    <row r="46" spans="6:57">
      <c r="F46" s="376"/>
      <c r="G46" s="315">
        <v>95</v>
      </c>
      <c r="H46" s="304">
        <v>4</v>
      </c>
      <c r="I46" s="315">
        <v>0.158</v>
      </c>
      <c r="J46" s="304">
        <v>0.18</v>
      </c>
      <c r="K46" s="304">
        <v>0.20300000000000001</v>
      </c>
      <c r="L46" s="304">
        <v>0.22</v>
      </c>
      <c r="M46" s="314">
        <v>0.247</v>
      </c>
      <c r="S46" s="301" t="s">
        <v>1326</v>
      </c>
      <c r="T46" s="300">
        <v>1.56</v>
      </c>
      <c r="U46" s="300">
        <v>1.74</v>
      </c>
      <c r="V46" s="300">
        <v>1.88</v>
      </c>
      <c r="W46" s="319">
        <v>2.14</v>
      </c>
      <c r="X46" s="300">
        <v>4.88</v>
      </c>
      <c r="AA46" s="301" t="s">
        <v>2507</v>
      </c>
      <c r="AB46" s="301">
        <v>5</v>
      </c>
      <c r="AC46" s="301">
        <v>7</v>
      </c>
      <c r="AD46" s="301">
        <v>9</v>
      </c>
      <c r="AE46" s="301">
        <v>11</v>
      </c>
      <c r="AF46" s="317">
        <v>12</v>
      </c>
      <c r="AO46" s="310"/>
      <c r="AP46" s="1077" t="str">
        <f>AP31</f>
        <v>7F-Ducts in Conditioned Space</v>
      </c>
      <c r="AQ46" s="1078"/>
      <c r="AR46" s="1078"/>
      <c r="AS46" s="1078"/>
      <c r="AT46" s="1078"/>
      <c r="AU46" s="1079"/>
      <c r="AV46" s="314"/>
      <c r="AW46" s="278">
        <f>1000*(AS53&lt;1500)</f>
        <v>0</v>
      </c>
      <c r="AX46" s="278">
        <f>1500*(AS53&gt;1499)*(AS53&lt;2000)</f>
        <v>0</v>
      </c>
      <c r="AY46" s="278">
        <f>2000*(AS53&gt;1999)*(AS53&lt;2500)</f>
        <v>0</v>
      </c>
      <c r="AZ46" s="278">
        <f>2500*(AS53&gt;2499)*(AS53&lt;3000)</f>
        <v>2500</v>
      </c>
      <c r="BA46" s="278">
        <f>3000*(AS53&gt;2999)</f>
        <v>0</v>
      </c>
      <c r="BB46" s="1081"/>
      <c r="BD46" s="314"/>
      <c r="BE46" s="312"/>
    </row>
    <row r="47" spans="6:57" ht="13.5" thickBot="1">
      <c r="F47" s="377"/>
      <c r="G47" s="341">
        <v>100</v>
      </c>
      <c r="H47" s="336">
        <v>5</v>
      </c>
      <c r="I47" s="341">
        <v>0.16</v>
      </c>
      <c r="J47" s="336">
        <v>0.185</v>
      </c>
      <c r="K47" s="336">
        <v>0.20699999999999999</v>
      </c>
      <c r="L47" s="336">
        <v>0.224</v>
      </c>
      <c r="M47" s="342">
        <v>0.252</v>
      </c>
      <c r="N47" s="336"/>
      <c r="O47" s="336"/>
      <c r="P47" s="336"/>
      <c r="Q47" s="336"/>
      <c r="R47" s="336"/>
      <c r="S47" s="336"/>
      <c r="T47" s="336"/>
      <c r="U47" s="336"/>
      <c r="V47" s="336"/>
      <c r="W47" s="336"/>
      <c r="X47" s="336"/>
      <c r="Y47" s="344"/>
      <c r="Z47" s="344"/>
      <c r="AA47" s="336"/>
      <c r="AB47" s="336"/>
      <c r="AC47" s="336"/>
      <c r="AD47" s="336"/>
      <c r="AE47" s="336"/>
      <c r="AF47" s="337"/>
      <c r="AO47" s="310"/>
      <c r="AP47" s="279"/>
      <c r="AQ47" s="1074" t="s">
        <v>2479</v>
      </c>
      <c r="AR47" s="1075"/>
      <c r="AS47" s="1075"/>
      <c r="AT47" s="1075"/>
      <c r="AU47" s="1076"/>
      <c r="AV47" s="314"/>
      <c r="AW47" s="315"/>
      <c r="BD47" s="314"/>
      <c r="BE47" s="312"/>
    </row>
    <row r="48" spans="6:57" ht="13.5" thickBot="1">
      <c r="F48" s="374" t="s">
        <v>2505</v>
      </c>
      <c r="G48" s="362"/>
      <c r="H48" s="362"/>
      <c r="I48" s="363">
        <v>1000</v>
      </c>
      <c r="J48" s="363">
        <v>1500</v>
      </c>
      <c r="K48" s="363">
        <v>2000</v>
      </c>
      <c r="L48" s="363">
        <v>2500</v>
      </c>
      <c r="M48" s="363">
        <v>3000</v>
      </c>
      <c r="N48" s="362"/>
      <c r="O48" s="363" t="s">
        <v>2504</v>
      </c>
      <c r="P48" s="364" t="s">
        <v>1235</v>
      </c>
      <c r="Q48" s="364" t="s">
        <v>1328</v>
      </c>
      <c r="R48" s="362"/>
      <c r="S48" s="362"/>
      <c r="T48" s="365" t="s">
        <v>1318</v>
      </c>
      <c r="U48" s="365" t="s">
        <v>1319</v>
      </c>
      <c r="V48" s="365" t="s">
        <v>1320</v>
      </c>
      <c r="W48" s="365" t="s">
        <v>1321</v>
      </c>
      <c r="X48" s="365" t="s">
        <v>2414</v>
      </c>
      <c r="Y48" s="364" t="s">
        <v>2415</v>
      </c>
      <c r="Z48" s="366"/>
      <c r="AA48" s="363"/>
      <c r="AB48" s="363">
        <v>1000</v>
      </c>
      <c r="AC48" s="363">
        <v>1500</v>
      </c>
      <c r="AD48" s="363">
        <v>2000</v>
      </c>
      <c r="AE48" s="363">
        <v>2500</v>
      </c>
      <c r="AF48" s="367">
        <v>3000</v>
      </c>
      <c r="AO48" s="310"/>
      <c r="AP48" s="288" t="s">
        <v>1199</v>
      </c>
      <c r="AQ48" s="289">
        <v>1000</v>
      </c>
      <c r="AR48" s="289">
        <v>1500</v>
      </c>
      <c r="AS48" s="289">
        <v>2000</v>
      </c>
      <c r="AT48" s="289">
        <v>2500</v>
      </c>
      <c r="AU48" s="289">
        <v>3000</v>
      </c>
      <c r="AV48" s="314"/>
      <c r="AW48" s="1085" t="s">
        <v>2512</v>
      </c>
      <c r="AX48" s="1085"/>
      <c r="AY48" s="1085"/>
      <c r="AZ48" s="280" t="s">
        <v>2483</v>
      </c>
      <c r="BA48" s="1085" t="s">
        <v>2511</v>
      </c>
      <c r="BB48" s="1085"/>
      <c r="BC48" s="1085"/>
      <c r="BD48" s="314"/>
      <c r="BE48" s="312"/>
    </row>
    <row r="49" spans="6:57">
      <c r="F49" s="378" t="s">
        <v>1314</v>
      </c>
      <c r="G49" s="302">
        <v>-10</v>
      </c>
      <c r="H49" s="308">
        <v>1</v>
      </c>
      <c r="I49" s="302">
        <v>8.1000000000000003E-2</v>
      </c>
      <c r="J49" s="308">
        <v>9.8000000000000004E-2</v>
      </c>
      <c r="K49" s="308">
        <v>0.114</v>
      </c>
      <c r="L49" s="308">
        <v>0.128</v>
      </c>
      <c r="M49" s="311">
        <v>0.14699999999999999</v>
      </c>
      <c r="O49" s="301" t="s">
        <v>1318</v>
      </c>
      <c r="P49" s="300">
        <v>1.79</v>
      </c>
      <c r="Q49" s="300">
        <v>1.65</v>
      </c>
      <c r="S49" s="301" t="s">
        <v>1322</v>
      </c>
      <c r="T49" s="300">
        <v>0.76</v>
      </c>
      <c r="U49" s="300">
        <v>0.71</v>
      </c>
      <c r="V49" s="300">
        <v>0.66</v>
      </c>
      <c r="W49" s="300">
        <v>0.6</v>
      </c>
      <c r="X49" s="326">
        <v>0.84599999999999997</v>
      </c>
      <c r="Y49" s="326">
        <v>0.154</v>
      </c>
      <c r="AA49" s="327">
        <v>10</v>
      </c>
      <c r="AB49" s="301">
        <v>182</v>
      </c>
      <c r="AC49" s="301">
        <v>270</v>
      </c>
      <c r="AD49" s="301">
        <v>345</v>
      </c>
      <c r="AE49" s="301">
        <v>418</v>
      </c>
      <c r="AF49" s="317">
        <v>466</v>
      </c>
      <c r="AO49" s="310"/>
      <c r="AP49" s="289" t="s">
        <v>2498</v>
      </c>
      <c r="AQ49" s="291">
        <f t="shared" ref="AQ49:AU50" si="5">IF($D$8=1,AB19,IF($D$8=2,AB32,IF($D$8=3,AB45,IF($D$8=4,AB58,IF($D$8=5,AB71,0)))))</f>
        <v>0</v>
      </c>
      <c r="AR49" s="291">
        <f t="shared" si="5"/>
        <v>0</v>
      </c>
      <c r="AS49" s="291">
        <f t="shared" si="5"/>
        <v>0</v>
      </c>
      <c r="AT49" s="291">
        <f t="shared" si="5"/>
        <v>0</v>
      </c>
      <c r="AU49" s="291">
        <f t="shared" si="5"/>
        <v>0</v>
      </c>
      <c r="AV49" s="314"/>
      <c r="AW49" s="281" t="s">
        <v>1194</v>
      </c>
      <c r="AX49" s="281"/>
      <c r="AY49" s="282" t="s">
        <v>2486</v>
      </c>
      <c r="AZ49" s="283" t="s">
        <v>2486</v>
      </c>
      <c r="BA49" s="281" t="s">
        <v>1194</v>
      </c>
      <c r="BB49" s="281"/>
      <c r="BC49" s="282" t="s">
        <v>2486</v>
      </c>
      <c r="BD49" s="314"/>
      <c r="BE49" s="312"/>
    </row>
    <row r="50" spans="6:57">
      <c r="F50" s="376"/>
      <c r="G50" s="315">
        <v>0</v>
      </c>
      <c r="H50" s="304">
        <v>2</v>
      </c>
      <c r="I50" s="315">
        <v>7.8E-2</v>
      </c>
      <c r="J50" s="304">
        <v>0.09</v>
      </c>
      <c r="K50" s="304">
        <v>0.107</v>
      </c>
      <c r="L50" s="304">
        <v>0.115</v>
      </c>
      <c r="M50" s="314">
        <v>0.13200000000000001</v>
      </c>
      <c r="O50" s="301" t="s">
        <v>1319</v>
      </c>
      <c r="P50" s="300">
        <v>1.21</v>
      </c>
      <c r="Q50" s="300">
        <v>1.26</v>
      </c>
      <c r="S50" s="301" t="s">
        <v>1323</v>
      </c>
      <c r="T50" s="300">
        <v>0.86</v>
      </c>
      <c r="U50" s="300">
        <v>0.84</v>
      </c>
      <c r="V50" s="300">
        <v>0.82</v>
      </c>
      <c r="W50" s="300">
        <v>0.79</v>
      </c>
      <c r="X50" s="326">
        <v>0.81</v>
      </c>
      <c r="Y50" s="326">
        <v>0.19</v>
      </c>
      <c r="AA50" s="327">
        <v>20</v>
      </c>
      <c r="AB50" s="301">
        <v>275</v>
      </c>
      <c r="AC50" s="301">
        <v>408</v>
      </c>
      <c r="AD50" s="301">
        <v>521</v>
      </c>
      <c r="AE50" s="301">
        <v>631</v>
      </c>
      <c r="AF50" s="317">
        <v>703</v>
      </c>
      <c r="AO50" s="310"/>
      <c r="AP50" s="289" t="s">
        <v>2499</v>
      </c>
      <c r="AQ50" s="291">
        <f t="shared" si="5"/>
        <v>0</v>
      </c>
      <c r="AR50" s="291">
        <f t="shared" si="5"/>
        <v>0</v>
      </c>
      <c r="AS50" s="291">
        <f t="shared" si="5"/>
        <v>0</v>
      </c>
      <c r="AT50" s="291">
        <f t="shared" si="5"/>
        <v>0</v>
      </c>
      <c r="AU50" s="291">
        <f t="shared" si="5"/>
        <v>0</v>
      </c>
      <c r="AV50" s="314"/>
      <c r="AW50" s="284">
        <f>BB45</f>
        <v>2500</v>
      </c>
      <c r="AX50" s="284"/>
      <c r="AY50" s="292">
        <f>HLOOKUP(BB45,AQ48:AU49,2)</f>
        <v>0</v>
      </c>
      <c r="AZ50" s="293">
        <f>AY50+(BC50-AY50)*(AS53-BB45)/500</f>
        <v>0</v>
      </c>
      <c r="BA50" s="284">
        <f>AW50+500</f>
        <v>3000</v>
      </c>
      <c r="BB50" s="284"/>
      <c r="BC50" s="292">
        <f>HLOOKUP(BA50,AQ48:AU49,2)</f>
        <v>0</v>
      </c>
      <c r="BD50" s="314"/>
      <c r="BE50" s="312"/>
    </row>
    <row r="51" spans="6:57">
      <c r="F51" s="376"/>
      <c r="G51" s="315">
        <v>10</v>
      </c>
      <c r="H51" s="304">
        <v>3</v>
      </c>
      <c r="I51" s="315">
        <v>7.4999999999999997E-2</v>
      </c>
      <c r="J51" s="304">
        <v>8.6999999999999994E-2</v>
      </c>
      <c r="K51" s="304">
        <v>0.1</v>
      </c>
      <c r="L51" s="304">
        <v>0.109</v>
      </c>
      <c r="M51" s="314">
        <v>0.125</v>
      </c>
      <c r="O51" s="301" t="s">
        <v>1320</v>
      </c>
      <c r="P51" s="300">
        <v>1</v>
      </c>
      <c r="Q51" s="300">
        <v>1</v>
      </c>
      <c r="S51" s="301" t="s">
        <v>1324</v>
      </c>
      <c r="T51" s="300">
        <v>1</v>
      </c>
      <c r="U51" s="300">
        <v>1</v>
      </c>
      <c r="V51" s="300">
        <v>1</v>
      </c>
      <c r="W51" s="300">
        <v>1</v>
      </c>
      <c r="X51" s="326">
        <v>0.79</v>
      </c>
      <c r="Y51" s="326">
        <v>0.21</v>
      </c>
      <c r="AA51" s="327">
        <v>30</v>
      </c>
      <c r="AB51" s="301">
        <v>372</v>
      </c>
      <c r="AC51" s="301">
        <v>552</v>
      </c>
      <c r="AD51" s="301">
        <v>705</v>
      </c>
      <c r="AE51" s="301">
        <v>854</v>
      </c>
      <c r="AF51" s="317">
        <v>951</v>
      </c>
      <c r="AO51" s="310"/>
      <c r="AP51" s="315"/>
      <c r="AU51" s="314"/>
      <c r="AV51" s="314"/>
      <c r="AW51" s="315"/>
      <c r="BD51" s="314"/>
      <c r="BE51" s="312"/>
    </row>
    <row r="52" spans="6:57">
      <c r="F52" s="376"/>
      <c r="G52" s="315">
        <v>20</v>
      </c>
      <c r="H52" s="304">
        <v>4</v>
      </c>
      <c r="I52" s="315">
        <v>7.0999999999999994E-2</v>
      </c>
      <c r="J52" s="304">
        <v>8.1000000000000003E-2</v>
      </c>
      <c r="K52" s="304">
        <v>9.2999999999999999E-2</v>
      </c>
      <c r="L52" s="304">
        <v>0.10199999999999999</v>
      </c>
      <c r="M52" s="314">
        <v>0.112</v>
      </c>
      <c r="O52" s="301" t="s">
        <v>1321</v>
      </c>
      <c r="P52" s="300">
        <v>0.88</v>
      </c>
      <c r="Q52" s="300">
        <v>0.91</v>
      </c>
      <c r="S52" s="301" t="s">
        <v>1325</v>
      </c>
      <c r="T52" s="300">
        <v>1.65</v>
      </c>
      <c r="U52" s="300">
        <v>1.94</v>
      </c>
      <c r="V52" s="300">
        <v>2.0699999999999998</v>
      </c>
      <c r="W52" s="300">
        <v>2.19</v>
      </c>
      <c r="X52" s="326">
        <v>0.77200000000000002</v>
      </c>
      <c r="Y52" s="326">
        <v>0.22800000000000001</v>
      </c>
      <c r="AA52" s="327">
        <v>40</v>
      </c>
      <c r="AB52" s="301">
        <v>473</v>
      </c>
      <c r="AC52" s="301">
        <v>702</v>
      </c>
      <c r="AD52" s="301">
        <v>897</v>
      </c>
      <c r="AE52" s="301">
        <v>1086</v>
      </c>
      <c r="AF52" s="317">
        <v>1210</v>
      </c>
      <c r="AO52" s="310"/>
      <c r="AP52" s="297" t="s">
        <v>2510</v>
      </c>
      <c r="AQ52" s="294">
        <f>AZ50</f>
        <v>0</v>
      </c>
      <c r="AU52" s="314"/>
      <c r="AV52" s="314"/>
      <c r="AW52" s="1085" t="s">
        <v>2513</v>
      </c>
      <c r="AX52" s="1085"/>
      <c r="AY52" s="1085"/>
      <c r="AZ52" s="280" t="s">
        <v>2483</v>
      </c>
      <c r="BA52" s="1085" t="s">
        <v>2513</v>
      </c>
      <c r="BB52" s="1085"/>
      <c r="BC52" s="1085"/>
      <c r="BD52" s="314"/>
      <c r="BE52" s="312"/>
    </row>
    <row r="53" spans="6:57">
      <c r="F53" s="376"/>
      <c r="G53" s="315">
        <v>30</v>
      </c>
      <c r="H53" s="304">
        <v>5</v>
      </c>
      <c r="I53" s="315">
        <v>6.6000000000000003E-2</v>
      </c>
      <c r="J53" s="304">
        <v>0.08</v>
      </c>
      <c r="K53" s="304">
        <v>8.5999999999999993E-2</v>
      </c>
      <c r="L53" s="304">
        <v>9.6000000000000002E-2</v>
      </c>
      <c r="M53" s="314">
        <v>0.106</v>
      </c>
      <c r="S53" s="301" t="s">
        <v>1326</v>
      </c>
      <c r="T53" s="300">
        <v>2.52</v>
      </c>
      <c r="U53" s="300">
        <v>2.99</v>
      </c>
      <c r="V53" s="300">
        <v>3.31</v>
      </c>
      <c r="W53" s="300">
        <v>3.57</v>
      </c>
      <c r="X53" s="326">
        <v>0.76400000000000001</v>
      </c>
      <c r="Y53" s="326">
        <v>0.23599999999999999</v>
      </c>
      <c r="AA53" s="327">
        <v>50</v>
      </c>
      <c r="AB53" s="301">
        <v>579</v>
      </c>
      <c r="AC53" s="301">
        <v>859</v>
      </c>
      <c r="AD53" s="301">
        <v>1097</v>
      </c>
      <c r="AE53" s="301">
        <v>1329</v>
      </c>
      <c r="AF53" s="317">
        <v>1480</v>
      </c>
      <c r="AO53" s="310"/>
      <c r="AP53" s="297" t="s">
        <v>2509</v>
      </c>
      <c r="AQ53" s="294">
        <f>AZ54</f>
        <v>0</v>
      </c>
      <c r="AR53" s="298" t="s">
        <v>2489</v>
      </c>
      <c r="AS53" s="409">
        <f>AS43</f>
        <v>2785.77</v>
      </c>
      <c r="AT53" s="298"/>
      <c r="AU53" s="322"/>
      <c r="AV53" s="314"/>
      <c r="AW53" s="281" t="s">
        <v>1194</v>
      </c>
      <c r="AX53" s="281"/>
      <c r="AY53" s="282" t="s">
        <v>2486</v>
      </c>
      <c r="AZ53" s="283" t="s">
        <v>2486</v>
      </c>
      <c r="BA53" s="281" t="s">
        <v>1194</v>
      </c>
      <c r="BB53" s="281" t="s">
        <v>2485</v>
      </c>
      <c r="BC53" s="282" t="s">
        <v>2486</v>
      </c>
      <c r="BD53" s="314"/>
      <c r="BE53" s="312"/>
    </row>
    <row r="54" spans="6:57">
      <c r="F54" s="376"/>
      <c r="G54" s="315">
        <v>40</v>
      </c>
      <c r="H54" s="304">
        <v>6</v>
      </c>
      <c r="I54" s="315">
        <v>6.0999999999999999E-2</v>
      </c>
      <c r="J54" s="304">
        <v>7.3999999999999996E-2</v>
      </c>
      <c r="K54" s="304">
        <v>8.5000000000000006E-2</v>
      </c>
      <c r="L54" s="304">
        <v>9.2999999999999999E-2</v>
      </c>
      <c r="M54" s="314">
        <v>0.105</v>
      </c>
      <c r="X54" s="301" t="s">
        <v>2448</v>
      </c>
      <c r="AA54" s="327">
        <v>60</v>
      </c>
      <c r="AB54" s="301">
        <v>689</v>
      </c>
      <c r="AC54" s="301">
        <v>1022</v>
      </c>
      <c r="AD54" s="301">
        <v>1306</v>
      </c>
      <c r="AE54" s="301">
        <v>1581</v>
      </c>
      <c r="AF54" s="317">
        <v>1761</v>
      </c>
      <c r="AO54" s="310"/>
      <c r="AV54" s="314"/>
      <c r="AW54" s="284">
        <f>BB45</f>
        <v>2500</v>
      </c>
      <c r="AX54" s="284"/>
      <c r="AY54" s="292">
        <f>HLOOKUP(AW54,AQ48:AU50,3)</f>
        <v>0</v>
      </c>
      <c r="AZ54" s="293">
        <f>AY54+(BC54-AY54)*(AS53-BB45)/500</f>
        <v>0</v>
      </c>
      <c r="BA54" s="284">
        <f>BB45+500</f>
        <v>3000</v>
      </c>
      <c r="BB54" s="284">
        <f>20+10</f>
        <v>30</v>
      </c>
      <c r="BC54" s="292">
        <f>HLOOKUP(BA54,AQ48:AU50,3)</f>
        <v>0</v>
      </c>
      <c r="BD54" s="322"/>
      <c r="BE54" s="312"/>
    </row>
    <row r="55" spans="6:57" ht="13.5" thickBot="1">
      <c r="F55" s="376"/>
      <c r="G55" s="315"/>
      <c r="I55" s="315"/>
      <c r="M55" s="314"/>
      <c r="S55" s="301" t="s">
        <v>1322</v>
      </c>
      <c r="T55" s="300">
        <v>0.8</v>
      </c>
      <c r="U55" s="300">
        <v>0.71</v>
      </c>
      <c r="V55" s="300">
        <v>0.67</v>
      </c>
      <c r="W55" s="319">
        <v>0.63</v>
      </c>
      <c r="X55" s="300">
        <v>0.32</v>
      </c>
      <c r="AA55" s="327">
        <v>70</v>
      </c>
      <c r="AB55" s="301">
        <v>803</v>
      </c>
      <c r="AC55" s="301">
        <v>1191</v>
      </c>
      <c r="AD55" s="301">
        <v>1522</v>
      </c>
      <c r="AE55" s="301">
        <v>1843</v>
      </c>
      <c r="AF55" s="317">
        <v>2053</v>
      </c>
      <c r="AO55" s="335"/>
      <c r="AP55" s="336"/>
      <c r="AQ55" s="336"/>
      <c r="AR55" s="336"/>
      <c r="AS55" s="336"/>
      <c r="AT55" s="336"/>
      <c r="AU55" s="336"/>
      <c r="AV55" s="336"/>
      <c r="AW55" s="407"/>
      <c r="AX55" s="407"/>
      <c r="AY55" s="407"/>
      <c r="AZ55" s="407"/>
      <c r="BA55" s="407"/>
      <c r="BB55" s="407"/>
      <c r="BC55" s="407"/>
      <c r="BD55" s="407"/>
      <c r="BE55" s="337"/>
    </row>
    <row r="56" spans="6:57">
      <c r="F56" s="376"/>
      <c r="G56" s="315">
        <v>0</v>
      </c>
      <c r="H56" s="304">
        <v>1</v>
      </c>
      <c r="I56" s="315">
        <v>4.8000000000000001E-2</v>
      </c>
      <c r="J56" s="304">
        <v>5.8000000000000003E-2</v>
      </c>
      <c r="K56" s="304">
        <v>6.4000000000000001E-2</v>
      </c>
      <c r="L56" s="304">
        <v>6.7000000000000004E-2</v>
      </c>
      <c r="M56" s="314">
        <v>8.1000000000000003E-2</v>
      </c>
      <c r="S56" s="301" t="s">
        <v>1323</v>
      </c>
      <c r="T56" s="300">
        <v>0.89</v>
      </c>
      <c r="U56" s="300">
        <v>0.86</v>
      </c>
      <c r="V56" s="300">
        <v>0.82</v>
      </c>
      <c r="W56" s="319">
        <v>0.8</v>
      </c>
      <c r="X56" s="300">
        <v>0.65</v>
      </c>
      <c r="AF56" s="312"/>
    </row>
    <row r="57" spans="6:57">
      <c r="F57" s="376"/>
      <c r="G57" s="315">
        <v>85</v>
      </c>
      <c r="H57" s="304">
        <v>2</v>
      </c>
      <c r="I57" s="315">
        <v>4.9000000000000002E-2</v>
      </c>
      <c r="J57" s="304">
        <v>5.8999999999999997E-2</v>
      </c>
      <c r="K57" s="304">
        <v>6.7000000000000004E-2</v>
      </c>
      <c r="L57" s="304">
        <v>6.8000000000000005E-2</v>
      </c>
      <c r="M57" s="314">
        <v>8.1000000000000003E-2</v>
      </c>
      <c r="S57" s="301" t="s">
        <v>1324</v>
      </c>
      <c r="T57" s="300">
        <v>1</v>
      </c>
      <c r="U57" s="300">
        <v>1</v>
      </c>
      <c r="V57" s="300">
        <v>1</v>
      </c>
      <c r="W57" s="319">
        <v>1</v>
      </c>
      <c r="X57" s="300">
        <v>1</v>
      </c>
      <c r="AA57" s="1042" t="s">
        <v>2508</v>
      </c>
      <c r="AB57" s="1042"/>
      <c r="AC57" s="1042"/>
      <c r="AD57" s="1042"/>
      <c r="AE57" s="1042"/>
      <c r="AF57" s="1043"/>
    </row>
    <row r="58" spans="6:57">
      <c r="F58" s="376"/>
      <c r="G58" s="315">
        <v>90</v>
      </c>
      <c r="H58" s="304">
        <v>3</v>
      </c>
      <c r="I58" s="315">
        <v>0.05</v>
      </c>
      <c r="J58" s="304">
        <v>5.8999999999999997E-2</v>
      </c>
      <c r="K58" s="304">
        <v>6.7000000000000004E-2</v>
      </c>
      <c r="L58" s="304">
        <v>6.9000000000000006E-2</v>
      </c>
      <c r="M58" s="314">
        <v>8.1000000000000003E-2</v>
      </c>
      <c r="S58" s="301" t="s">
        <v>1325</v>
      </c>
      <c r="T58" s="300">
        <v>1.65</v>
      </c>
      <c r="U58" s="300">
        <v>1.79</v>
      </c>
      <c r="V58" s="300">
        <v>1.89</v>
      </c>
      <c r="W58" s="319">
        <v>1.97</v>
      </c>
      <c r="X58" s="300">
        <v>2.5299999999999998</v>
      </c>
      <c r="AA58" s="301" t="s">
        <v>2506</v>
      </c>
      <c r="AB58" s="301">
        <v>251</v>
      </c>
      <c r="AC58" s="301">
        <v>374</v>
      </c>
      <c r="AD58" s="301">
        <v>493</v>
      </c>
      <c r="AE58" s="301">
        <v>585</v>
      </c>
      <c r="AF58" s="317">
        <v>649</v>
      </c>
    </row>
    <row r="59" spans="6:57">
      <c r="F59" s="376"/>
      <c r="G59" s="315">
        <v>95</v>
      </c>
      <c r="H59" s="304">
        <v>4</v>
      </c>
      <c r="I59" s="315">
        <v>5.1999999999999998E-2</v>
      </c>
      <c r="J59" s="304">
        <v>5.8999999999999997E-2</v>
      </c>
      <c r="K59" s="304">
        <v>6.8000000000000005E-2</v>
      </c>
      <c r="L59" s="304">
        <v>7.1999999999999995E-2</v>
      </c>
      <c r="M59" s="314">
        <v>8.4000000000000005E-2</v>
      </c>
      <c r="S59" s="301" t="s">
        <v>1326</v>
      </c>
      <c r="T59" s="300">
        <v>2.42</v>
      </c>
      <c r="U59" s="300">
        <v>2.75</v>
      </c>
      <c r="V59" s="300">
        <v>2.97</v>
      </c>
      <c r="W59" s="319">
        <v>3.11</v>
      </c>
      <c r="X59" s="300">
        <v>4.33</v>
      </c>
      <c r="AA59" s="301" t="s">
        <v>2507</v>
      </c>
      <c r="AB59" s="301">
        <v>49</v>
      </c>
      <c r="AC59" s="301">
        <v>69</v>
      </c>
      <c r="AD59" s="301">
        <v>86</v>
      </c>
      <c r="AE59" s="301">
        <v>100</v>
      </c>
      <c r="AF59" s="317">
        <v>111</v>
      </c>
    </row>
    <row r="60" spans="6:57" ht="13.5" thickBot="1">
      <c r="F60" s="377"/>
      <c r="G60" s="341">
        <v>100</v>
      </c>
      <c r="H60" s="336">
        <v>5</v>
      </c>
      <c r="I60" s="341">
        <v>5.3999999999999999E-2</v>
      </c>
      <c r="J60" s="336">
        <v>5.8999999999999997E-2</v>
      </c>
      <c r="K60" s="336">
        <v>6.9000000000000006E-2</v>
      </c>
      <c r="L60" s="336">
        <v>7.4999999999999997E-2</v>
      </c>
      <c r="M60" s="342">
        <v>8.6999999999999994E-2</v>
      </c>
      <c r="N60" s="336"/>
      <c r="O60" s="336"/>
      <c r="P60" s="336"/>
      <c r="Q60" s="336"/>
      <c r="R60" s="336"/>
      <c r="S60" s="336"/>
      <c r="T60" s="336"/>
      <c r="U60" s="336"/>
      <c r="V60" s="336"/>
      <c r="W60" s="336"/>
      <c r="X60" s="336"/>
      <c r="Y60" s="344"/>
      <c r="Z60" s="344"/>
      <c r="AA60" s="336"/>
      <c r="AB60" s="336"/>
      <c r="AC60" s="336"/>
      <c r="AD60" s="336"/>
      <c r="AE60" s="336"/>
      <c r="AF60" s="337"/>
    </row>
    <row r="61" spans="6:57" ht="13.5" thickBot="1">
      <c r="F61" s="374" t="s">
        <v>2505</v>
      </c>
      <c r="G61" s="362"/>
      <c r="H61" s="362"/>
      <c r="I61" s="363">
        <v>1000</v>
      </c>
      <c r="J61" s="363">
        <v>1500</v>
      </c>
      <c r="K61" s="363">
        <v>2000</v>
      </c>
      <c r="L61" s="363">
        <v>2500</v>
      </c>
      <c r="M61" s="363">
        <v>3000</v>
      </c>
      <c r="N61" s="362"/>
      <c r="O61" s="363" t="s">
        <v>2504</v>
      </c>
      <c r="P61" s="364" t="s">
        <v>1235</v>
      </c>
      <c r="Q61" s="364" t="s">
        <v>1328</v>
      </c>
      <c r="R61" s="362"/>
      <c r="S61" s="362"/>
      <c r="T61" s="365" t="s">
        <v>1318</v>
      </c>
      <c r="U61" s="365" t="s">
        <v>1319</v>
      </c>
      <c r="V61" s="365" t="s">
        <v>1320</v>
      </c>
      <c r="W61" s="365" t="s">
        <v>1321</v>
      </c>
      <c r="X61" s="365" t="s">
        <v>2414</v>
      </c>
      <c r="Y61" s="364" t="s">
        <v>2415</v>
      </c>
      <c r="Z61" s="366"/>
      <c r="AA61" s="363"/>
      <c r="AB61" s="363">
        <v>1000</v>
      </c>
      <c r="AC61" s="363">
        <v>1500</v>
      </c>
      <c r="AD61" s="363">
        <v>2000</v>
      </c>
      <c r="AE61" s="363">
        <v>2500</v>
      </c>
      <c r="AF61" s="367">
        <v>3000</v>
      </c>
    </row>
    <row r="62" spans="6:57">
      <c r="F62" s="378" t="s">
        <v>2616</v>
      </c>
      <c r="G62" s="302">
        <v>-10</v>
      </c>
      <c r="H62" s="308">
        <v>1</v>
      </c>
      <c r="I62" s="302">
        <v>0.23300000000000001</v>
      </c>
      <c r="J62" s="308">
        <v>0.27800000000000002</v>
      </c>
      <c r="K62" s="308">
        <v>0.32500000000000001</v>
      </c>
      <c r="L62" s="308">
        <v>0.35699999999999998</v>
      </c>
      <c r="M62" s="311">
        <v>0.41099999999999998</v>
      </c>
      <c r="O62" s="301" t="s">
        <v>1318</v>
      </c>
      <c r="P62" s="300">
        <v>2.17</v>
      </c>
      <c r="Q62" s="300">
        <v>1.99</v>
      </c>
      <c r="S62" s="301" t="s">
        <v>1322</v>
      </c>
      <c r="T62" s="300">
        <v>0.81</v>
      </c>
      <c r="U62" s="300">
        <v>0.75</v>
      </c>
      <c r="V62" s="300">
        <v>0.72</v>
      </c>
      <c r="W62" s="300">
        <v>0.69</v>
      </c>
      <c r="X62" s="326">
        <v>0.85499999999999998</v>
      </c>
      <c r="Y62" s="326">
        <v>0.14499999999999999</v>
      </c>
      <c r="AA62" s="327">
        <v>10</v>
      </c>
      <c r="AB62" s="301">
        <v>188</v>
      </c>
      <c r="AC62" s="301">
        <v>286</v>
      </c>
      <c r="AD62" s="301">
        <v>384</v>
      </c>
      <c r="AE62" s="301">
        <v>478</v>
      </c>
      <c r="AF62" s="317">
        <v>544</v>
      </c>
    </row>
    <row r="63" spans="6:57">
      <c r="F63" s="376"/>
      <c r="G63" s="315">
        <v>0</v>
      </c>
      <c r="H63" s="304">
        <v>2</v>
      </c>
      <c r="I63" s="315">
        <v>0.21</v>
      </c>
      <c r="J63" s="304">
        <v>0.24399999999999999</v>
      </c>
      <c r="K63" s="304">
        <v>0.29399999999999998</v>
      </c>
      <c r="L63" s="304">
        <v>0.32500000000000001</v>
      </c>
      <c r="M63" s="314">
        <v>0.36499999999999999</v>
      </c>
      <c r="O63" s="301" t="s">
        <v>1319</v>
      </c>
      <c r="P63" s="300">
        <v>1.31</v>
      </c>
      <c r="Q63" s="300">
        <v>1.24</v>
      </c>
      <c r="S63" s="301" t="s">
        <v>1323</v>
      </c>
      <c r="T63" s="300">
        <v>0.9</v>
      </c>
      <c r="U63" s="300">
        <v>0.87</v>
      </c>
      <c r="V63" s="300">
        <v>0.84</v>
      </c>
      <c r="W63" s="300">
        <v>0.62</v>
      </c>
      <c r="X63" s="326">
        <v>0.84199999999999997</v>
      </c>
      <c r="Y63" s="326">
        <v>0.158</v>
      </c>
      <c r="AA63" s="327">
        <v>20</v>
      </c>
      <c r="AB63" s="301">
        <v>277</v>
      </c>
      <c r="AC63" s="301">
        <v>420</v>
      </c>
      <c r="AD63" s="301">
        <v>564</v>
      </c>
      <c r="AE63" s="301">
        <v>702</v>
      </c>
      <c r="AF63" s="317">
        <v>800</v>
      </c>
    </row>
    <row r="64" spans="6:57">
      <c r="F64" s="376"/>
      <c r="G64" s="315">
        <v>10</v>
      </c>
      <c r="H64" s="304">
        <v>3</v>
      </c>
      <c r="I64" s="315">
        <v>0.19700000000000001</v>
      </c>
      <c r="J64" s="304">
        <v>0.224</v>
      </c>
      <c r="K64" s="304">
        <v>0.26200000000000001</v>
      </c>
      <c r="L64" s="304">
        <v>0.29399999999999998</v>
      </c>
      <c r="M64" s="314">
        <v>0.318</v>
      </c>
      <c r="O64" s="301" t="s">
        <v>1320</v>
      </c>
      <c r="P64" s="300">
        <v>1</v>
      </c>
      <c r="Q64" s="300">
        <v>1</v>
      </c>
      <c r="S64" s="301" t="s">
        <v>1324</v>
      </c>
      <c r="T64" s="300">
        <v>1</v>
      </c>
      <c r="U64" s="300">
        <v>1</v>
      </c>
      <c r="V64" s="300">
        <v>1</v>
      </c>
      <c r="W64" s="300">
        <v>1</v>
      </c>
      <c r="X64" s="326">
        <v>0.82899999999999996</v>
      </c>
      <c r="Y64" s="326">
        <v>0.17100000000000001</v>
      </c>
      <c r="AA64" s="327">
        <v>30</v>
      </c>
      <c r="AB64" s="301">
        <v>370</v>
      </c>
      <c r="AC64" s="301">
        <v>562</v>
      </c>
      <c r="AD64" s="301">
        <v>754</v>
      </c>
      <c r="AE64" s="301">
        <v>938</v>
      </c>
      <c r="AF64" s="317">
        <v>1069</v>
      </c>
    </row>
    <row r="65" spans="6:32">
      <c r="F65" s="376"/>
      <c r="G65" s="315">
        <v>20</v>
      </c>
      <c r="H65" s="304">
        <v>4</v>
      </c>
      <c r="I65" s="315">
        <v>0.182</v>
      </c>
      <c r="J65" s="304">
        <v>0.20300000000000001</v>
      </c>
      <c r="K65" s="304">
        <v>0.23100000000000001</v>
      </c>
      <c r="L65" s="304">
        <v>0.251</v>
      </c>
      <c r="M65" s="314">
        <v>0.28499999999999998</v>
      </c>
      <c r="O65" s="301" t="s">
        <v>1321</v>
      </c>
      <c r="P65" s="300">
        <v>0.86</v>
      </c>
      <c r="Q65" s="300">
        <v>0.88</v>
      </c>
      <c r="S65" s="301" t="s">
        <v>1325</v>
      </c>
      <c r="T65" s="300">
        <v>1.53</v>
      </c>
      <c r="U65" s="300">
        <v>1.66</v>
      </c>
      <c r="V65" s="300">
        <v>1.82</v>
      </c>
      <c r="W65" s="300">
        <v>1.91</v>
      </c>
      <c r="X65" s="326">
        <v>0.81799999999999995</v>
      </c>
      <c r="Y65" s="326">
        <v>0.182</v>
      </c>
      <c r="AA65" s="327">
        <v>40</v>
      </c>
      <c r="AB65" s="301">
        <v>468</v>
      </c>
      <c r="AC65" s="301">
        <v>711</v>
      </c>
      <c r="AD65" s="301">
        <v>954</v>
      </c>
      <c r="AE65" s="301">
        <v>1187</v>
      </c>
      <c r="AF65" s="317">
        <v>1353</v>
      </c>
    </row>
    <row r="66" spans="6:32">
      <c r="F66" s="376"/>
      <c r="G66" s="315">
        <v>30</v>
      </c>
      <c r="H66" s="304">
        <v>5</v>
      </c>
      <c r="I66" s="315">
        <v>0.158</v>
      </c>
      <c r="J66" s="304">
        <v>0.184</v>
      </c>
      <c r="K66" s="304">
        <v>0.2</v>
      </c>
      <c r="L66" s="304">
        <v>0.23499999999999999</v>
      </c>
      <c r="M66" s="314">
        <v>0.253</v>
      </c>
      <c r="S66" s="301" t="s">
        <v>1326</v>
      </c>
      <c r="T66" s="300">
        <v>2.25</v>
      </c>
      <c r="U66" s="300">
        <v>2.5499999999999998</v>
      </c>
      <c r="V66" s="300">
        <v>2.85</v>
      </c>
      <c r="W66" s="300">
        <v>3.11</v>
      </c>
      <c r="X66" s="326">
        <v>0.81</v>
      </c>
      <c r="Y66" s="326">
        <v>0.19</v>
      </c>
      <c r="AA66" s="327">
        <v>50</v>
      </c>
      <c r="AB66" s="301">
        <v>571</v>
      </c>
      <c r="AC66" s="301">
        <v>867</v>
      </c>
      <c r="AD66" s="301">
        <v>1165</v>
      </c>
      <c r="AE66" s="301">
        <v>1448</v>
      </c>
      <c r="AF66" s="317">
        <v>1650</v>
      </c>
    </row>
    <row r="67" spans="6:32">
      <c r="F67" s="376"/>
      <c r="G67" s="315">
        <v>40</v>
      </c>
      <c r="H67" s="304">
        <v>6</v>
      </c>
      <c r="I67" s="315">
        <v>0.13500000000000001</v>
      </c>
      <c r="J67" s="304">
        <v>0.161</v>
      </c>
      <c r="K67" s="304">
        <v>0.188</v>
      </c>
      <c r="L67" s="304">
        <v>0.20699999999999999</v>
      </c>
      <c r="M67" s="314">
        <v>0.223</v>
      </c>
      <c r="X67" s="301" t="s">
        <v>2448</v>
      </c>
      <c r="AA67" s="327">
        <v>60</v>
      </c>
      <c r="AB67" s="301">
        <v>679</v>
      </c>
      <c r="AC67" s="301">
        <v>1031</v>
      </c>
      <c r="AD67" s="301">
        <v>1385</v>
      </c>
      <c r="AE67" s="301">
        <v>1723</v>
      </c>
      <c r="AF67" s="317">
        <v>1963</v>
      </c>
    </row>
    <row r="68" spans="6:32">
      <c r="F68" s="376"/>
      <c r="G68" s="315"/>
      <c r="I68" s="315"/>
      <c r="M68" s="314"/>
      <c r="S68" s="301" t="s">
        <v>1322</v>
      </c>
      <c r="T68" s="300">
        <v>0.87</v>
      </c>
      <c r="U68" s="300">
        <v>0.83</v>
      </c>
      <c r="V68" s="300">
        <v>0.79</v>
      </c>
      <c r="W68" s="319">
        <v>0.78</v>
      </c>
      <c r="X68" s="300">
        <v>0.33</v>
      </c>
      <c r="AA68" s="327">
        <v>70</v>
      </c>
      <c r="AB68" s="301">
        <v>793</v>
      </c>
      <c r="AC68" s="301">
        <v>1204</v>
      </c>
      <c r="AD68" s="301">
        <v>1617</v>
      </c>
      <c r="AE68" s="301">
        <v>2011</v>
      </c>
      <c r="AF68" s="317">
        <v>2291</v>
      </c>
    </row>
    <row r="69" spans="6:32">
      <c r="F69" s="376"/>
      <c r="G69" s="315">
        <v>0</v>
      </c>
      <c r="H69" s="304">
        <v>1</v>
      </c>
      <c r="I69" s="315">
        <v>0.21099999999999999</v>
      </c>
      <c r="J69" s="304">
        <v>0.26200000000000001</v>
      </c>
      <c r="K69" s="304">
        <v>0.314</v>
      </c>
      <c r="L69" s="304">
        <v>0.33300000000000002</v>
      </c>
      <c r="M69" s="314">
        <v>0.36599999999999999</v>
      </c>
      <c r="S69" s="301" t="s">
        <v>1323</v>
      </c>
      <c r="T69" s="300">
        <v>0.92</v>
      </c>
      <c r="U69" s="300">
        <v>0.92</v>
      </c>
      <c r="V69" s="300">
        <v>0.89</v>
      </c>
      <c r="W69" s="319">
        <v>0.87</v>
      </c>
      <c r="X69" s="300">
        <v>0.65</v>
      </c>
      <c r="AF69" s="312"/>
    </row>
    <row r="70" spans="6:32">
      <c r="F70" s="376"/>
      <c r="G70" s="315">
        <v>85</v>
      </c>
      <c r="H70" s="304">
        <v>2</v>
      </c>
      <c r="I70" s="315">
        <v>0.22700000000000001</v>
      </c>
      <c r="J70" s="304">
        <v>0.26600000000000001</v>
      </c>
      <c r="K70" s="304">
        <v>0.3</v>
      </c>
      <c r="L70" s="304">
        <v>0.34399999999999997</v>
      </c>
      <c r="M70" s="314">
        <v>0.376</v>
      </c>
      <c r="S70" s="301" t="s">
        <v>1324</v>
      </c>
      <c r="T70" s="300">
        <v>1</v>
      </c>
      <c r="U70" s="300">
        <v>1</v>
      </c>
      <c r="V70" s="300">
        <v>1</v>
      </c>
      <c r="W70" s="319">
        <v>1</v>
      </c>
      <c r="X70" s="300">
        <v>1</v>
      </c>
      <c r="AA70" s="1042" t="s">
        <v>2508</v>
      </c>
      <c r="AB70" s="1042"/>
      <c r="AC70" s="1042"/>
      <c r="AD70" s="1042"/>
      <c r="AE70" s="1042"/>
      <c r="AF70" s="1043"/>
    </row>
    <row r="71" spans="6:32">
      <c r="F71" s="376"/>
      <c r="G71" s="315">
        <v>90</v>
      </c>
      <c r="H71" s="304">
        <v>3</v>
      </c>
      <c r="I71" s="315">
        <v>0.246</v>
      </c>
      <c r="J71" s="304">
        <v>0.27500000000000002</v>
      </c>
      <c r="K71" s="304">
        <v>0.31900000000000001</v>
      </c>
      <c r="L71" s="304">
        <v>0.34399999999999997</v>
      </c>
      <c r="M71" s="314">
        <v>0.39400000000000002</v>
      </c>
      <c r="S71" s="301" t="s">
        <v>1325</v>
      </c>
      <c r="T71" s="300">
        <v>1.37</v>
      </c>
      <c r="U71" s="300">
        <v>1.47</v>
      </c>
      <c r="V71" s="300">
        <v>1.53</v>
      </c>
      <c r="W71" s="319">
        <v>1.59</v>
      </c>
      <c r="X71" s="300">
        <v>2.83</v>
      </c>
      <c r="AA71" s="301" t="s">
        <v>2506</v>
      </c>
      <c r="AB71" s="301">
        <v>308</v>
      </c>
      <c r="AC71" s="301">
        <v>476</v>
      </c>
      <c r="AD71" s="301">
        <v>633</v>
      </c>
      <c r="AE71" s="301">
        <v>773</v>
      </c>
      <c r="AF71" s="317">
        <v>908</v>
      </c>
    </row>
    <row r="72" spans="6:32">
      <c r="F72" s="376"/>
      <c r="G72" s="315">
        <v>95</v>
      </c>
      <c r="H72" s="304">
        <v>4</v>
      </c>
      <c r="I72" s="315">
        <v>0.247</v>
      </c>
      <c r="J72" s="304">
        <v>0.28499999999999998</v>
      </c>
      <c r="K72" s="304">
        <v>0.32500000000000001</v>
      </c>
      <c r="L72" s="304">
        <v>0.36399999999999999</v>
      </c>
      <c r="M72" s="314">
        <v>0.41399999999999998</v>
      </c>
      <c r="S72" s="301" t="s">
        <v>1326</v>
      </c>
      <c r="T72" s="300">
        <v>1.84</v>
      </c>
      <c r="U72" s="300">
        <v>2.0499999999999998</v>
      </c>
      <c r="V72" s="300">
        <v>2.1800000000000002</v>
      </c>
      <c r="W72" s="319">
        <v>2.34</v>
      </c>
      <c r="X72" s="300">
        <v>5.13</v>
      </c>
      <c r="AA72" s="301" t="s">
        <v>2507</v>
      </c>
      <c r="AB72" s="301">
        <v>55</v>
      </c>
      <c r="AC72" s="301">
        <v>82</v>
      </c>
      <c r="AD72" s="301">
        <v>105</v>
      </c>
      <c r="AE72" s="301">
        <v>128</v>
      </c>
      <c r="AF72" s="317">
        <v>147</v>
      </c>
    </row>
    <row r="73" spans="6:32" ht="13.5" thickBot="1">
      <c r="F73" s="377"/>
      <c r="G73" s="341">
        <v>100</v>
      </c>
      <c r="H73" s="336">
        <v>5</v>
      </c>
      <c r="I73" s="341">
        <v>0.252</v>
      </c>
      <c r="J73" s="336">
        <v>0.29699999999999999</v>
      </c>
      <c r="K73" s="336">
        <v>0.34899999999999998</v>
      </c>
      <c r="L73" s="336">
        <v>0.38500000000000001</v>
      </c>
      <c r="M73" s="342">
        <v>0.42099999999999999</v>
      </c>
      <c r="N73" s="336"/>
      <c r="O73" s="336"/>
      <c r="P73" s="336"/>
      <c r="Q73" s="336"/>
      <c r="R73" s="336"/>
      <c r="S73" s="336"/>
      <c r="T73" s="336"/>
      <c r="U73" s="336"/>
      <c r="V73" s="336"/>
      <c r="W73" s="336"/>
      <c r="X73" s="336"/>
      <c r="Y73" s="344"/>
      <c r="Z73" s="344"/>
      <c r="AA73" s="336"/>
      <c r="AB73" s="336"/>
      <c r="AC73" s="336"/>
      <c r="AD73" s="336"/>
      <c r="AE73" s="336"/>
      <c r="AF73" s="337"/>
    </row>
  </sheetData>
  <mergeCells count="61">
    <mergeCell ref="BD33:BD34"/>
    <mergeCell ref="AW33:BC33"/>
    <mergeCell ref="AW36:AY36"/>
    <mergeCell ref="BA36:BC36"/>
    <mergeCell ref="AP46:AU46"/>
    <mergeCell ref="AQ47:AU47"/>
    <mergeCell ref="AP45:AU45"/>
    <mergeCell ref="BB45:BB46"/>
    <mergeCell ref="AA70:AF70"/>
    <mergeCell ref="AW40:AY40"/>
    <mergeCell ref="BA40:BC40"/>
    <mergeCell ref="AW48:AY48"/>
    <mergeCell ref="BA48:BC48"/>
    <mergeCell ref="AW45:BA45"/>
    <mergeCell ref="AW52:AY52"/>
    <mergeCell ref="BA52:BC52"/>
    <mergeCell ref="AA44:AF44"/>
    <mergeCell ref="AW22:AY22"/>
    <mergeCell ref="BA22:BC22"/>
    <mergeCell ref="AW26:AY26"/>
    <mergeCell ref="BA26:BC26"/>
    <mergeCell ref="AW30:BA30"/>
    <mergeCell ref="BB30:BB31"/>
    <mergeCell ref="BC19:BC20"/>
    <mergeCell ref="AW2:BA2"/>
    <mergeCell ref="BC5:BC6"/>
    <mergeCell ref="AW8:AY8"/>
    <mergeCell ref="BA8:BC8"/>
    <mergeCell ref="AW12:AY12"/>
    <mergeCell ref="BA12:BC12"/>
    <mergeCell ref="BB2:BB3"/>
    <mergeCell ref="AW5:BB5"/>
    <mergeCell ref="AW16:BA16"/>
    <mergeCell ref="BB16:BB17"/>
    <mergeCell ref="AW19:BB19"/>
    <mergeCell ref="AH1:AM1"/>
    <mergeCell ref="AP16:AU16"/>
    <mergeCell ref="AQ32:AU32"/>
    <mergeCell ref="AP30:AU30"/>
    <mergeCell ref="AP31:AU31"/>
    <mergeCell ref="AP3:AU3"/>
    <mergeCell ref="AQ4:AU4"/>
    <mergeCell ref="AP2:AU2"/>
    <mergeCell ref="AP17:AU17"/>
    <mergeCell ref="AQ18:AU18"/>
    <mergeCell ref="A1:C1"/>
    <mergeCell ref="A2:C2"/>
    <mergeCell ref="A3:C3"/>
    <mergeCell ref="A4:C4"/>
    <mergeCell ref="A5:C5"/>
    <mergeCell ref="A6:C6"/>
    <mergeCell ref="A7:C7"/>
    <mergeCell ref="AK2:AK3"/>
    <mergeCell ref="AA57:AF57"/>
    <mergeCell ref="AH11:AJ13"/>
    <mergeCell ref="AH7:AJ8"/>
    <mergeCell ref="AH4:AK6"/>
    <mergeCell ref="AH9:AL9"/>
    <mergeCell ref="AH10:AL10"/>
    <mergeCell ref="AA18:AF18"/>
    <mergeCell ref="AA31:AF31"/>
  </mergeCells>
  <phoneticPr fontId="25" type="noConversion"/>
  <pageMargins left="0.75" right="0.75" top="1"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B3"/>
  <sheetViews>
    <sheetView workbookViewId="0">
      <selection activeCell="A4" sqref="A4"/>
    </sheetView>
  </sheetViews>
  <sheetFormatPr defaultRowHeight="15"/>
  <cols>
    <col min="1" max="1" width="16.109375" bestFit="1" customWidth="1"/>
  </cols>
  <sheetData>
    <row r="1" spans="1:2">
      <c r="A1" t="s">
        <v>1233</v>
      </c>
      <c r="B1">
        <v>10</v>
      </c>
    </row>
    <row r="2" spans="1:2">
      <c r="A2" t="s">
        <v>1232</v>
      </c>
      <c r="B2">
        <v>20</v>
      </c>
    </row>
    <row r="3" spans="1:2">
      <c r="A3" t="s">
        <v>1234</v>
      </c>
      <c r="B3">
        <v>30</v>
      </c>
    </row>
  </sheetData>
  <phoneticPr fontId="25" type="noConversion"/>
  <pageMargins left="0.75" right="0.75" top="1" bottom="1" header="0.5" footer="0.5"/>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6"/>
  <dimension ref="A1:L42"/>
  <sheetViews>
    <sheetView topLeftCell="A18" workbookViewId="0">
      <selection activeCell="A18" sqref="A18"/>
    </sheetView>
  </sheetViews>
  <sheetFormatPr defaultRowHeight="15"/>
  <cols>
    <col min="1" max="1" width="18.21875" bestFit="1" customWidth="1"/>
    <col min="2" max="12" width="6.77734375" customWidth="1"/>
  </cols>
  <sheetData>
    <row r="1" spans="1:12">
      <c r="A1" t="s">
        <v>2239</v>
      </c>
      <c r="B1">
        <v>2</v>
      </c>
      <c r="C1" t="s">
        <v>1213</v>
      </c>
      <c r="D1">
        <v>2</v>
      </c>
      <c r="E1">
        <v>95</v>
      </c>
      <c r="F1">
        <v>7</v>
      </c>
    </row>
    <row r="2" spans="1:12">
      <c r="A2" t="s">
        <v>2242</v>
      </c>
      <c r="B2">
        <v>3</v>
      </c>
      <c r="C2" t="s">
        <v>1214</v>
      </c>
      <c r="D2">
        <v>3</v>
      </c>
      <c r="E2">
        <v>105</v>
      </c>
      <c r="F2">
        <v>6</v>
      </c>
    </row>
    <row r="3" spans="1:12">
      <c r="A3" t="s">
        <v>2240</v>
      </c>
      <c r="B3">
        <v>4</v>
      </c>
      <c r="C3" t="s">
        <v>1215</v>
      </c>
      <c r="D3">
        <v>4</v>
      </c>
      <c r="E3">
        <v>110</v>
      </c>
      <c r="F3">
        <v>5</v>
      </c>
    </row>
    <row r="4" spans="1:12">
      <c r="A4" t="s">
        <v>2243</v>
      </c>
      <c r="B4">
        <v>5</v>
      </c>
      <c r="C4" t="s">
        <v>1216</v>
      </c>
      <c r="D4">
        <v>5</v>
      </c>
      <c r="E4">
        <v>120</v>
      </c>
      <c r="F4">
        <v>4</v>
      </c>
    </row>
    <row r="5" spans="1:12">
      <c r="A5" t="s">
        <v>2246</v>
      </c>
      <c r="B5">
        <v>6</v>
      </c>
      <c r="C5" t="s">
        <v>1217</v>
      </c>
      <c r="D5">
        <v>6</v>
      </c>
      <c r="E5">
        <v>130</v>
      </c>
      <c r="F5">
        <v>3</v>
      </c>
    </row>
    <row r="6" spans="1:12">
      <c r="A6" t="s">
        <v>2241</v>
      </c>
      <c r="B6">
        <v>7</v>
      </c>
      <c r="C6" t="s">
        <v>1218</v>
      </c>
      <c r="D6">
        <v>7</v>
      </c>
      <c r="E6">
        <v>150</v>
      </c>
      <c r="F6">
        <v>2</v>
      </c>
    </row>
    <row r="7" spans="1:12">
      <c r="A7" t="s">
        <v>2244</v>
      </c>
      <c r="B7">
        <v>8</v>
      </c>
      <c r="C7" t="s">
        <v>1219</v>
      </c>
      <c r="D7">
        <v>8</v>
      </c>
    </row>
    <row r="8" spans="1:12">
      <c r="A8" t="s">
        <v>2247</v>
      </c>
      <c r="B8">
        <v>9</v>
      </c>
      <c r="C8" t="s">
        <v>1220</v>
      </c>
      <c r="D8">
        <v>9</v>
      </c>
    </row>
    <row r="9" spans="1:12">
      <c r="A9" t="s">
        <v>2245</v>
      </c>
      <c r="B9">
        <v>10</v>
      </c>
      <c r="C9" t="s">
        <v>1221</v>
      </c>
      <c r="D9">
        <v>10</v>
      </c>
    </row>
    <row r="10" spans="1:12">
      <c r="A10" t="s">
        <v>2248</v>
      </c>
      <c r="B10">
        <v>11</v>
      </c>
      <c r="C10" t="s">
        <v>1222</v>
      </c>
      <c r="D10">
        <v>11</v>
      </c>
    </row>
    <row r="11" spans="1:12">
      <c r="A11" t="s">
        <v>2249</v>
      </c>
      <c r="B11">
        <v>12</v>
      </c>
      <c r="C11" t="s">
        <v>1212</v>
      </c>
      <c r="D11">
        <v>12</v>
      </c>
    </row>
    <row r="12" spans="1:12">
      <c r="A12" t="s">
        <v>2250</v>
      </c>
      <c r="B12">
        <v>13</v>
      </c>
    </row>
    <row r="14" spans="1:12">
      <c r="A14" t="s">
        <v>1230</v>
      </c>
    </row>
    <row r="15" spans="1:12">
      <c r="B15" t="s">
        <v>1213</v>
      </c>
      <c r="C15" t="s">
        <v>1214</v>
      </c>
      <c r="D15" t="s">
        <v>1215</v>
      </c>
      <c r="E15" t="s">
        <v>1216</v>
      </c>
      <c r="F15" t="s">
        <v>1217</v>
      </c>
      <c r="G15" t="s">
        <v>1218</v>
      </c>
      <c r="H15" t="s">
        <v>1219</v>
      </c>
      <c r="I15" t="s">
        <v>1220</v>
      </c>
      <c r="J15" t="s">
        <v>1221</v>
      </c>
      <c r="K15" t="s">
        <v>1222</v>
      </c>
      <c r="L15" t="s">
        <v>1212</v>
      </c>
    </row>
    <row r="16" spans="1:12">
      <c r="A16" t="s">
        <v>2239</v>
      </c>
      <c r="B16">
        <v>25.5</v>
      </c>
      <c r="C16">
        <v>23.1</v>
      </c>
      <c r="D16">
        <v>20.5</v>
      </c>
      <c r="E16">
        <v>18.5</v>
      </c>
      <c r="F16">
        <v>16.399999999999999</v>
      </c>
      <c r="G16">
        <v>14.3</v>
      </c>
      <c r="H16">
        <v>12.3</v>
      </c>
      <c r="I16">
        <v>11.7</v>
      </c>
      <c r="J16">
        <v>11</v>
      </c>
      <c r="K16">
        <v>10.4</v>
      </c>
      <c r="L16">
        <v>9.6</v>
      </c>
    </row>
    <row r="17" spans="1:12">
      <c r="A17" t="s">
        <v>2242</v>
      </c>
      <c r="B17">
        <v>21.5</v>
      </c>
      <c r="C17">
        <v>19.100000000000001</v>
      </c>
      <c r="D17">
        <v>16.5</v>
      </c>
      <c r="E17">
        <v>14.5</v>
      </c>
      <c r="F17">
        <v>12.4</v>
      </c>
      <c r="G17">
        <v>10.3</v>
      </c>
      <c r="H17">
        <v>8.3000000000000007</v>
      </c>
      <c r="I17">
        <v>7.7</v>
      </c>
      <c r="J17">
        <v>7</v>
      </c>
      <c r="K17">
        <v>6.4</v>
      </c>
      <c r="L17">
        <v>5.6</v>
      </c>
    </row>
    <row r="18" spans="1:12">
      <c r="A18" t="s">
        <v>2240</v>
      </c>
      <c r="B18">
        <v>30.5</v>
      </c>
      <c r="C18">
        <v>28.1</v>
      </c>
      <c r="D18">
        <v>25.5</v>
      </c>
      <c r="E18">
        <v>23.5</v>
      </c>
      <c r="F18">
        <v>21.4</v>
      </c>
      <c r="G18">
        <v>19.3</v>
      </c>
      <c r="H18">
        <v>17.3</v>
      </c>
      <c r="I18">
        <v>16.7</v>
      </c>
      <c r="J18">
        <v>16</v>
      </c>
      <c r="K18">
        <v>15.4</v>
      </c>
      <c r="L18">
        <v>14.6</v>
      </c>
    </row>
    <row r="19" spans="1:12">
      <c r="A19" t="s">
        <v>2243</v>
      </c>
      <c r="B19">
        <v>26.5</v>
      </c>
      <c r="C19">
        <v>24.1</v>
      </c>
      <c r="D19">
        <v>21.5</v>
      </c>
      <c r="E19">
        <v>19.399999999999999</v>
      </c>
      <c r="F19">
        <v>17.399999999999999</v>
      </c>
      <c r="G19">
        <v>15.3</v>
      </c>
      <c r="H19">
        <v>13.3</v>
      </c>
      <c r="I19">
        <v>12.7</v>
      </c>
      <c r="J19">
        <v>12</v>
      </c>
      <c r="K19">
        <v>11.4</v>
      </c>
      <c r="L19">
        <v>10.5</v>
      </c>
    </row>
    <row r="20" spans="1:12">
      <c r="A20" t="s">
        <v>2246</v>
      </c>
      <c r="B20">
        <v>21.5</v>
      </c>
      <c r="C20">
        <v>19.100000000000001</v>
      </c>
      <c r="D20">
        <v>16.5</v>
      </c>
      <c r="E20">
        <v>14.5</v>
      </c>
      <c r="F20">
        <v>12.4</v>
      </c>
      <c r="G20">
        <v>10.3</v>
      </c>
      <c r="H20">
        <v>8.3000000000000007</v>
      </c>
      <c r="I20">
        <v>7.7</v>
      </c>
      <c r="J20">
        <v>7</v>
      </c>
      <c r="K20">
        <v>6.4</v>
      </c>
      <c r="L20">
        <v>5.6</v>
      </c>
    </row>
    <row r="21" spans="1:12">
      <c r="A21" t="s">
        <v>2241</v>
      </c>
      <c r="B21">
        <v>35.5</v>
      </c>
      <c r="C21">
        <v>33.1</v>
      </c>
      <c r="D21">
        <v>30.5</v>
      </c>
      <c r="E21">
        <v>28.5</v>
      </c>
      <c r="F21">
        <v>26.4</v>
      </c>
      <c r="G21">
        <v>24.3</v>
      </c>
      <c r="H21">
        <v>22.3</v>
      </c>
      <c r="I21">
        <v>21.7</v>
      </c>
      <c r="J21">
        <v>21</v>
      </c>
      <c r="K21">
        <v>20.399999999999999</v>
      </c>
      <c r="L21">
        <v>19.600000000000001</v>
      </c>
    </row>
    <row r="22" spans="1:12">
      <c r="A22" t="s">
        <v>2244</v>
      </c>
      <c r="B22">
        <v>31.5</v>
      </c>
      <c r="C22">
        <v>29.1</v>
      </c>
      <c r="D22">
        <v>26.5</v>
      </c>
      <c r="E22">
        <v>24.5</v>
      </c>
      <c r="F22">
        <v>22.4</v>
      </c>
      <c r="G22">
        <v>20.3</v>
      </c>
      <c r="H22">
        <v>18.3</v>
      </c>
      <c r="I22">
        <v>17.7</v>
      </c>
      <c r="J22">
        <v>17</v>
      </c>
      <c r="K22">
        <v>16.399999999999999</v>
      </c>
      <c r="L22">
        <v>15.6</v>
      </c>
    </row>
    <row r="23" spans="1:12">
      <c r="A23" t="s">
        <v>2247</v>
      </c>
      <c r="B23">
        <v>26.5</v>
      </c>
      <c r="C23">
        <v>24.1</v>
      </c>
      <c r="D23">
        <v>21.5</v>
      </c>
      <c r="E23">
        <v>19.5</v>
      </c>
      <c r="F23">
        <v>17.399999999999999</v>
      </c>
      <c r="G23">
        <v>15.3</v>
      </c>
      <c r="H23">
        <v>13.3</v>
      </c>
      <c r="I23">
        <v>12.7</v>
      </c>
      <c r="J23">
        <v>12</v>
      </c>
      <c r="K23">
        <v>11.4</v>
      </c>
      <c r="L23">
        <v>10.6</v>
      </c>
    </row>
    <row r="24" spans="1:12">
      <c r="A24" t="s">
        <v>2245</v>
      </c>
      <c r="B24">
        <v>36.5</v>
      </c>
      <c r="C24">
        <v>34.1</v>
      </c>
      <c r="D24">
        <v>31.5</v>
      </c>
      <c r="E24">
        <v>29.5</v>
      </c>
      <c r="F24">
        <v>27.4</v>
      </c>
      <c r="G24">
        <v>25.3</v>
      </c>
      <c r="H24">
        <v>23.3</v>
      </c>
      <c r="I24">
        <v>22.7</v>
      </c>
      <c r="J24">
        <v>22</v>
      </c>
      <c r="K24">
        <v>21.4</v>
      </c>
      <c r="L24">
        <v>20.6</v>
      </c>
    </row>
    <row r="25" spans="1:12">
      <c r="A25" t="s">
        <v>2248</v>
      </c>
      <c r="B25">
        <v>31.5</v>
      </c>
      <c r="C25">
        <v>29.1</v>
      </c>
      <c r="D25">
        <v>26.5</v>
      </c>
      <c r="E25">
        <v>24.5</v>
      </c>
      <c r="F25">
        <v>22.4</v>
      </c>
      <c r="G25">
        <v>20.3</v>
      </c>
      <c r="H25">
        <v>18.3</v>
      </c>
      <c r="I25">
        <v>17.7</v>
      </c>
      <c r="J25">
        <v>17</v>
      </c>
      <c r="K25">
        <v>16.399999999999999</v>
      </c>
      <c r="L25">
        <v>15.6</v>
      </c>
    </row>
    <row r="26" spans="1:12">
      <c r="A26" t="s">
        <v>2249</v>
      </c>
      <c r="B26">
        <v>36.5</v>
      </c>
      <c r="C26">
        <v>34.1</v>
      </c>
      <c r="D26">
        <v>31.5</v>
      </c>
      <c r="E26">
        <v>29.5</v>
      </c>
      <c r="F26">
        <v>27.4</v>
      </c>
      <c r="G26">
        <v>25.3</v>
      </c>
      <c r="H26">
        <v>23.3</v>
      </c>
      <c r="I26">
        <v>22.7</v>
      </c>
      <c r="J26">
        <v>22</v>
      </c>
      <c r="K26">
        <v>21.4</v>
      </c>
      <c r="L26">
        <v>20.6</v>
      </c>
    </row>
    <row r="27" spans="1:12">
      <c r="A27" t="s">
        <v>2250</v>
      </c>
      <c r="B27">
        <v>41.5</v>
      </c>
      <c r="C27">
        <v>39.1</v>
      </c>
      <c r="D27">
        <v>36.5</v>
      </c>
      <c r="E27">
        <v>34.5</v>
      </c>
      <c r="F27">
        <v>32.4</v>
      </c>
      <c r="G27">
        <v>30.3</v>
      </c>
      <c r="H27">
        <v>28.3</v>
      </c>
      <c r="I27">
        <v>27.7</v>
      </c>
      <c r="J27">
        <v>27</v>
      </c>
      <c r="K27">
        <v>26.4</v>
      </c>
      <c r="L27">
        <v>25.6</v>
      </c>
    </row>
    <row r="29" spans="1:12">
      <c r="A29" t="s">
        <v>1259</v>
      </c>
    </row>
    <row r="30" spans="1:12">
      <c r="B30" t="s">
        <v>1213</v>
      </c>
      <c r="C30" t="s">
        <v>1214</v>
      </c>
      <c r="D30" t="s">
        <v>1215</v>
      </c>
      <c r="E30" t="s">
        <v>1216</v>
      </c>
      <c r="F30" t="s">
        <v>1217</v>
      </c>
      <c r="G30" t="s">
        <v>1218</v>
      </c>
      <c r="H30" t="s">
        <v>1219</v>
      </c>
      <c r="I30" t="s">
        <v>1220</v>
      </c>
      <c r="J30" t="s">
        <v>1221</v>
      </c>
      <c r="K30" t="s">
        <v>1222</v>
      </c>
      <c r="L30" t="s">
        <v>1212</v>
      </c>
    </row>
    <row r="31" spans="1:12">
      <c r="A31" t="s">
        <v>2239</v>
      </c>
      <c r="B31">
        <v>14.8</v>
      </c>
      <c r="C31">
        <v>12.7</v>
      </c>
      <c r="D31">
        <v>10.6</v>
      </c>
      <c r="E31">
        <v>9.4</v>
      </c>
      <c r="F31">
        <v>8</v>
      </c>
      <c r="G31">
        <v>6.9</v>
      </c>
      <c r="H31">
        <v>5.6</v>
      </c>
      <c r="I31">
        <v>5.3</v>
      </c>
      <c r="J31">
        <v>4.9000000000000004</v>
      </c>
      <c r="K31">
        <v>4.7</v>
      </c>
      <c r="L31">
        <v>4.5</v>
      </c>
    </row>
    <row r="32" spans="1:12">
      <c r="A32" t="s">
        <v>2242</v>
      </c>
      <c r="B32">
        <v>10.8</v>
      </c>
      <c r="C32">
        <v>8.6999999999999993</v>
      </c>
      <c r="D32">
        <v>6.6</v>
      </c>
      <c r="E32">
        <v>5.4</v>
      </c>
      <c r="F32">
        <v>4</v>
      </c>
      <c r="G32">
        <v>2.9</v>
      </c>
      <c r="H32">
        <v>1.6</v>
      </c>
      <c r="I32">
        <v>1.3</v>
      </c>
      <c r="J32">
        <v>0.9</v>
      </c>
      <c r="K32">
        <v>0.7</v>
      </c>
      <c r="L32">
        <v>0.5</v>
      </c>
    </row>
    <row r="33" spans="1:12">
      <c r="A33" t="s">
        <v>2240</v>
      </c>
      <c r="B33">
        <v>19.8</v>
      </c>
      <c r="C33">
        <v>17.7</v>
      </c>
      <c r="D33">
        <v>15.6</v>
      </c>
      <c r="E33">
        <v>14.4</v>
      </c>
      <c r="F33">
        <v>13</v>
      </c>
      <c r="G33">
        <v>11.9</v>
      </c>
      <c r="H33">
        <v>10.6</v>
      </c>
      <c r="I33">
        <v>10.3</v>
      </c>
      <c r="J33">
        <v>9.9</v>
      </c>
      <c r="K33">
        <v>9.6999999999999993</v>
      </c>
      <c r="L33">
        <v>9.5</v>
      </c>
    </row>
    <row r="34" spans="1:12">
      <c r="A34" t="s">
        <v>2243</v>
      </c>
      <c r="B34">
        <v>15.8</v>
      </c>
      <c r="C34">
        <v>13.7</v>
      </c>
      <c r="D34">
        <v>11.6</v>
      </c>
      <c r="E34">
        <v>10.4</v>
      </c>
      <c r="F34">
        <v>9</v>
      </c>
      <c r="G34">
        <v>7.9</v>
      </c>
      <c r="H34">
        <v>6.6</v>
      </c>
      <c r="I34">
        <v>6.3</v>
      </c>
      <c r="J34">
        <v>5.9</v>
      </c>
      <c r="K34">
        <v>5.7</v>
      </c>
      <c r="L34">
        <v>5.5</v>
      </c>
    </row>
    <row r="35" spans="1:12">
      <c r="A35" t="s">
        <v>2246</v>
      </c>
      <c r="B35">
        <v>10.8</v>
      </c>
      <c r="C35">
        <v>8.6999999999999993</v>
      </c>
      <c r="D35">
        <v>6.6</v>
      </c>
      <c r="E35">
        <v>5.4</v>
      </c>
      <c r="F35">
        <v>4</v>
      </c>
      <c r="G35">
        <v>2.9</v>
      </c>
      <c r="H35">
        <v>1.6</v>
      </c>
      <c r="I35">
        <v>1.3</v>
      </c>
      <c r="J35">
        <v>0.9</v>
      </c>
      <c r="K35">
        <v>0.7</v>
      </c>
      <c r="L35">
        <v>0.5</v>
      </c>
    </row>
    <row r="36" spans="1:12">
      <c r="A36" t="s">
        <v>2241</v>
      </c>
      <c r="B36">
        <v>24.8</v>
      </c>
      <c r="C36">
        <v>22.7</v>
      </c>
      <c r="D36">
        <v>20.6</v>
      </c>
      <c r="E36">
        <v>19.399999999999999</v>
      </c>
      <c r="F36">
        <v>18</v>
      </c>
      <c r="G36">
        <v>16.899999999999999</v>
      </c>
      <c r="H36">
        <v>15.6</v>
      </c>
      <c r="I36">
        <v>15.3</v>
      </c>
      <c r="J36">
        <v>14.9</v>
      </c>
      <c r="K36">
        <v>14.7</v>
      </c>
      <c r="L36">
        <v>14.5</v>
      </c>
    </row>
    <row r="37" spans="1:12">
      <c r="A37" t="s">
        <v>2244</v>
      </c>
      <c r="B37">
        <v>20.8</v>
      </c>
      <c r="C37">
        <v>18.7</v>
      </c>
      <c r="D37">
        <v>16.600000000000001</v>
      </c>
      <c r="E37">
        <v>15.4</v>
      </c>
      <c r="F37">
        <v>14</v>
      </c>
      <c r="G37">
        <v>12.9</v>
      </c>
      <c r="H37">
        <v>11.6</v>
      </c>
      <c r="I37">
        <v>11.3</v>
      </c>
      <c r="J37">
        <v>10.9</v>
      </c>
      <c r="K37">
        <v>10.7</v>
      </c>
      <c r="L37">
        <v>10.5</v>
      </c>
    </row>
    <row r="38" spans="1:12">
      <c r="A38" t="s">
        <v>2247</v>
      </c>
      <c r="B38">
        <v>15.8</v>
      </c>
      <c r="C38">
        <v>13.7</v>
      </c>
      <c r="D38">
        <v>11.6</v>
      </c>
      <c r="E38">
        <v>10.4</v>
      </c>
      <c r="F38">
        <v>9</v>
      </c>
      <c r="G38">
        <v>7.9</v>
      </c>
      <c r="H38">
        <v>6.6</v>
      </c>
      <c r="I38">
        <v>6.3</v>
      </c>
      <c r="J38">
        <v>5.9</v>
      </c>
      <c r="K38">
        <v>5.7</v>
      </c>
      <c r="L38">
        <v>5.5</v>
      </c>
    </row>
    <row r="39" spans="1:12">
      <c r="A39" t="s">
        <v>2245</v>
      </c>
      <c r="B39">
        <v>25.8</v>
      </c>
      <c r="C39">
        <v>23.7</v>
      </c>
      <c r="D39">
        <v>21.6</v>
      </c>
      <c r="E39">
        <v>20.399999999999999</v>
      </c>
      <c r="F39">
        <v>19</v>
      </c>
      <c r="G39">
        <v>17.899999999999999</v>
      </c>
      <c r="H39">
        <v>16.600000000000001</v>
      </c>
      <c r="I39">
        <v>16.3</v>
      </c>
      <c r="J39">
        <v>15.9</v>
      </c>
      <c r="K39">
        <v>15.7</v>
      </c>
      <c r="L39">
        <v>15.5</v>
      </c>
    </row>
    <row r="40" spans="1:12">
      <c r="A40" t="s">
        <v>2248</v>
      </c>
      <c r="B40">
        <v>20.8</v>
      </c>
      <c r="C40">
        <v>18.7</v>
      </c>
      <c r="D40">
        <v>16.600000000000001</v>
      </c>
      <c r="E40">
        <v>15.4</v>
      </c>
      <c r="F40">
        <v>14</v>
      </c>
      <c r="G40">
        <v>12.9</v>
      </c>
      <c r="H40">
        <v>11.6</v>
      </c>
      <c r="I40">
        <v>11.3</v>
      </c>
      <c r="J40">
        <v>10.9</v>
      </c>
      <c r="K40">
        <v>10.7</v>
      </c>
      <c r="L40">
        <v>10.5</v>
      </c>
    </row>
    <row r="41" spans="1:12">
      <c r="A41" t="s">
        <v>2249</v>
      </c>
      <c r="B41">
        <v>25.8</v>
      </c>
      <c r="C41">
        <v>23.7</v>
      </c>
      <c r="D41">
        <v>21.6</v>
      </c>
      <c r="E41">
        <v>20.399999999999999</v>
      </c>
      <c r="F41">
        <v>19</v>
      </c>
      <c r="G41">
        <v>17.899999999999999</v>
      </c>
      <c r="H41">
        <v>16.600000000000001</v>
      </c>
      <c r="I41">
        <v>16.3</v>
      </c>
      <c r="J41">
        <v>15.9</v>
      </c>
      <c r="K41">
        <v>15.7</v>
      </c>
      <c r="L41">
        <v>15.5</v>
      </c>
    </row>
    <row r="42" spans="1:12">
      <c r="A42" t="s">
        <v>2250</v>
      </c>
      <c r="B42">
        <v>30.8</v>
      </c>
      <c r="C42">
        <v>28.7</v>
      </c>
      <c r="D42">
        <v>26.6</v>
      </c>
      <c r="E42">
        <v>25.4</v>
      </c>
      <c r="F42">
        <v>24</v>
      </c>
      <c r="G42">
        <v>22.9</v>
      </c>
      <c r="H42">
        <v>21.6</v>
      </c>
      <c r="I42">
        <v>21.3</v>
      </c>
      <c r="J42">
        <v>20.9</v>
      </c>
      <c r="K42">
        <v>20.7</v>
      </c>
      <c r="L42">
        <v>20.5</v>
      </c>
    </row>
  </sheetData>
  <phoneticPr fontId="25" type="noConversion"/>
  <pageMargins left="0.75" right="0.75" top="1" bottom="1" header="0.5" footer="0.5"/>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7"/>
  <dimension ref="A1:H49"/>
  <sheetViews>
    <sheetView workbookViewId="0"/>
  </sheetViews>
  <sheetFormatPr defaultRowHeight="15"/>
  <sheetData>
    <row r="1" spans="1:8">
      <c r="A1" s="1">
        <f>IF('J1 Form'!K5&lt;10,10,'J1 Form'!K5)</f>
        <v>10</v>
      </c>
      <c r="B1" s="1" t="str">
        <f>'J1 Form'!K6</f>
        <v>Medium</v>
      </c>
      <c r="C1" s="1">
        <f>VLOOKUP(A1,A6:B31,2,TRUE)</f>
        <v>10</v>
      </c>
      <c r="D1" s="1" t="str">
        <f>C1&amp;B1</f>
        <v>10Medium</v>
      </c>
      <c r="E1" s="190"/>
      <c r="F1" s="410" t="s">
        <v>1200</v>
      </c>
      <c r="G1" s="13">
        <v>0</v>
      </c>
      <c r="H1" s="13">
        <v>1</v>
      </c>
    </row>
    <row r="2" spans="1:8">
      <c r="G2" s="13">
        <v>250</v>
      </c>
      <c r="H2" s="13">
        <v>0.99250000000000005</v>
      </c>
    </row>
    <row r="3" spans="1:8">
      <c r="C3" s="1087" t="s">
        <v>1207</v>
      </c>
      <c r="D3" s="1088"/>
      <c r="E3" s="190"/>
      <c r="G3" s="13">
        <f>G2+250</f>
        <v>500</v>
      </c>
      <c r="H3" s="13">
        <v>0.98499999999999999</v>
      </c>
    </row>
    <row r="4" spans="1:8">
      <c r="A4" s="1087" t="s">
        <v>1210</v>
      </c>
      <c r="B4" s="1088"/>
      <c r="C4" s="1087">
        <f>VLOOKUP(D1,C6:D17,2)</f>
        <v>21</v>
      </c>
      <c r="D4" s="1088"/>
      <c r="E4" s="190"/>
      <c r="G4" s="13">
        <f t="shared" ref="G4:G49" si="0">G3+250</f>
        <v>750</v>
      </c>
      <c r="H4" s="13">
        <v>0.97750000000000004</v>
      </c>
    </row>
    <row r="5" spans="1:8">
      <c r="C5" t="s">
        <v>1209</v>
      </c>
      <c r="D5" t="s">
        <v>1196</v>
      </c>
      <c r="E5" t="s">
        <v>1265</v>
      </c>
      <c r="G5" s="13">
        <f t="shared" si="0"/>
        <v>1000</v>
      </c>
      <c r="H5" s="13">
        <v>0.97</v>
      </c>
    </row>
    <row r="6" spans="1:8">
      <c r="A6">
        <v>10</v>
      </c>
      <c r="B6">
        <v>10</v>
      </c>
      <c r="C6" t="s">
        <v>2239</v>
      </c>
      <c r="D6">
        <v>25</v>
      </c>
      <c r="E6">
        <v>9</v>
      </c>
      <c r="G6" s="13">
        <f t="shared" si="0"/>
        <v>1250</v>
      </c>
      <c r="H6" s="13">
        <v>0.96</v>
      </c>
    </row>
    <row r="7" spans="1:8">
      <c r="A7">
        <v>11</v>
      </c>
      <c r="B7">
        <v>10</v>
      </c>
      <c r="C7" t="s">
        <v>2242</v>
      </c>
      <c r="D7">
        <v>21</v>
      </c>
      <c r="E7">
        <v>5</v>
      </c>
      <c r="G7" s="13">
        <f t="shared" si="0"/>
        <v>1500</v>
      </c>
      <c r="H7" s="13">
        <v>0.95</v>
      </c>
    </row>
    <row r="8" spans="1:8">
      <c r="A8">
        <v>12</v>
      </c>
      <c r="B8">
        <v>10</v>
      </c>
      <c r="C8" t="s">
        <v>2240</v>
      </c>
      <c r="D8">
        <v>30</v>
      </c>
      <c r="E8">
        <v>14</v>
      </c>
      <c r="G8" s="13">
        <f t="shared" si="0"/>
        <v>1750</v>
      </c>
      <c r="H8" s="13">
        <v>0.94</v>
      </c>
    </row>
    <row r="9" spans="1:8">
      <c r="A9">
        <v>13</v>
      </c>
      <c r="B9">
        <v>15</v>
      </c>
      <c r="C9" t="s">
        <v>2243</v>
      </c>
      <c r="D9">
        <v>26</v>
      </c>
      <c r="E9">
        <v>10</v>
      </c>
      <c r="G9" s="13">
        <f t="shared" si="0"/>
        <v>2000</v>
      </c>
      <c r="H9" s="13">
        <v>0.93</v>
      </c>
    </row>
    <row r="10" spans="1:8">
      <c r="A10">
        <v>14</v>
      </c>
      <c r="B10">
        <v>15</v>
      </c>
      <c r="C10" t="s">
        <v>2246</v>
      </c>
      <c r="D10">
        <v>21</v>
      </c>
      <c r="E10">
        <v>5</v>
      </c>
      <c r="G10" s="13">
        <f t="shared" si="0"/>
        <v>2250</v>
      </c>
      <c r="H10" s="13">
        <v>0.92</v>
      </c>
    </row>
    <row r="11" spans="1:8">
      <c r="A11">
        <v>15</v>
      </c>
      <c r="B11">
        <v>15</v>
      </c>
      <c r="C11" t="s">
        <v>2241</v>
      </c>
      <c r="D11">
        <v>35</v>
      </c>
      <c r="E11">
        <v>19</v>
      </c>
      <c r="G11" s="13">
        <f t="shared" si="0"/>
        <v>2500</v>
      </c>
      <c r="H11" s="13">
        <v>0.91</v>
      </c>
    </row>
    <row r="12" spans="1:8">
      <c r="A12">
        <v>16</v>
      </c>
      <c r="B12">
        <v>15</v>
      </c>
      <c r="C12" t="s">
        <v>2244</v>
      </c>
      <c r="D12">
        <v>31</v>
      </c>
      <c r="E12">
        <v>15</v>
      </c>
      <c r="G12" s="13">
        <f t="shared" si="0"/>
        <v>2750</v>
      </c>
      <c r="H12" s="13">
        <v>0.9</v>
      </c>
    </row>
    <row r="13" spans="1:8">
      <c r="A13">
        <v>17</v>
      </c>
      <c r="B13">
        <v>15</v>
      </c>
      <c r="C13" t="s">
        <v>2247</v>
      </c>
      <c r="D13">
        <v>26</v>
      </c>
      <c r="E13">
        <v>10</v>
      </c>
      <c r="G13" s="13">
        <f t="shared" si="0"/>
        <v>3000</v>
      </c>
      <c r="H13" s="13">
        <v>0.89</v>
      </c>
    </row>
    <row r="14" spans="1:8">
      <c r="A14">
        <v>18</v>
      </c>
      <c r="B14">
        <v>20</v>
      </c>
      <c r="C14" t="s">
        <v>2245</v>
      </c>
      <c r="D14">
        <v>36</v>
      </c>
      <c r="E14">
        <v>20</v>
      </c>
      <c r="G14" s="13">
        <f t="shared" si="0"/>
        <v>3250</v>
      </c>
      <c r="H14" s="13">
        <v>0.88500000000000001</v>
      </c>
    </row>
    <row r="15" spans="1:8">
      <c r="A15">
        <v>19</v>
      </c>
      <c r="B15">
        <v>20</v>
      </c>
      <c r="C15" t="s">
        <v>2248</v>
      </c>
      <c r="D15">
        <v>31</v>
      </c>
      <c r="E15">
        <v>15</v>
      </c>
      <c r="G15" s="13">
        <f t="shared" si="0"/>
        <v>3500</v>
      </c>
      <c r="H15" s="13">
        <v>0.88</v>
      </c>
    </row>
    <row r="16" spans="1:8">
      <c r="A16">
        <v>20</v>
      </c>
      <c r="B16">
        <v>20</v>
      </c>
      <c r="C16" t="s">
        <v>2249</v>
      </c>
      <c r="D16">
        <v>36</v>
      </c>
      <c r="E16">
        <v>20</v>
      </c>
      <c r="G16" s="13">
        <f t="shared" si="0"/>
        <v>3750</v>
      </c>
      <c r="H16" s="13">
        <v>0.875</v>
      </c>
    </row>
    <row r="17" spans="1:8">
      <c r="A17">
        <v>21</v>
      </c>
      <c r="B17">
        <v>20</v>
      </c>
      <c r="C17" t="s">
        <v>2250</v>
      </c>
      <c r="D17">
        <v>41</v>
      </c>
      <c r="E17">
        <v>25</v>
      </c>
      <c r="G17" s="13">
        <f t="shared" si="0"/>
        <v>4000</v>
      </c>
      <c r="H17" s="13">
        <v>0.87</v>
      </c>
    </row>
    <row r="18" spans="1:8">
      <c r="A18">
        <v>22</v>
      </c>
      <c r="B18">
        <v>20</v>
      </c>
      <c r="G18" s="13">
        <f t="shared" si="0"/>
        <v>4250</v>
      </c>
      <c r="H18" s="13">
        <v>0.86250000000000004</v>
      </c>
    </row>
    <row r="19" spans="1:8">
      <c r="A19">
        <v>23</v>
      </c>
      <c r="B19">
        <v>25</v>
      </c>
      <c r="G19" s="13">
        <f t="shared" si="0"/>
        <v>4500</v>
      </c>
      <c r="H19" s="13">
        <v>0.85499999999999998</v>
      </c>
    </row>
    <row r="20" spans="1:8">
      <c r="A20">
        <v>24</v>
      </c>
      <c r="B20">
        <v>25</v>
      </c>
      <c r="G20" s="13">
        <f t="shared" si="0"/>
        <v>4750</v>
      </c>
      <c r="H20" s="13">
        <v>0.84750000000000003</v>
      </c>
    </row>
    <row r="21" spans="1:8">
      <c r="A21">
        <v>25</v>
      </c>
      <c r="B21">
        <v>25</v>
      </c>
      <c r="G21" s="13">
        <f t="shared" si="0"/>
        <v>5000</v>
      </c>
      <c r="H21" s="13">
        <v>0.84</v>
      </c>
    </row>
    <row r="22" spans="1:8">
      <c r="A22">
        <v>26</v>
      </c>
      <c r="B22">
        <v>25</v>
      </c>
      <c r="G22" s="13">
        <f t="shared" si="0"/>
        <v>5250</v>
      </c>
      <c r="H22" s="13">
        <v>0.83</v>
      </c>
    </row>
    <row r="23" spans="1:8">
      <c r="A23">
        <v>27</v>
      </c>
      <c r="B23">
        <v>25</v>
      </c>
      <c r="G23" s="13">
        <f t="shared" si="0"/>
        <v>5500</v>
      </c>
      <c r="H23" s="13">
        <v>0.82</v>
      </c>
    </row>
    <row r="24" spans="1:8">
      <c r="A24">
        <v>28</v>
      </c>
      <c r="B24">
        <v>30</v>
      </c>
      <c r="G24" s="13">
        <f t="shared" si="0"/>
        <v>5750</v>
      </c>
      <c r="H24" s="13">
        <v>0.81</v>
      </c>
    </row>
    <row r="25" spans="1:8">
      <c r="A25">
        <v>29</v>
      </c>
      <c r="B25">
        <v>30</v>
      </c>
      <c r="G25" s="13">
        <f t="shared" si="0"/>
        <v>6000</v>
      </c>
      <c r="H25" s="13">
        <v>0.8</v>
      </c>
    </row>
    <row r="26" spans="1:8">
      <c r="A26">
        <v>30</v>
      </c>
      <c r="B26">
        <v>30</v>
      </c>
      <c r="G26" s="13">
        <f t="shared" si="0"/>
        <v>6250</v>
      </c>
      <c r="H26" s="13">
        <v>0.79249999999999998</v>
      </c>
    </row>
    <row r="27" spans="1:8">
      <c r="A27">
        <v>31</v>
      </c>
      <c r="B27">
        <v>30</v>
      </c>
      <c r="G27" s="13">
        <f t="shared" si="0"/>
        <v>6500</v>
      </c>
      <c r="H27" s="13">
        <v>0.78500000000000003</v>
      </c>
    </row>
    <row r="28" spans="1:8">
      <c r="A28">
        <v>32</v>
      </c>
      <c r="B28">
        <v>30</v>
      </c>
      <c r="G28" s="13">
        <f t="shared" si="0"/>
        <v>6750</v>
      </c>
      <c r="H28" s="13">
        <v>0.77749999999999997</v>
      </c>
    </row>
    <row r="29" spans="1:8">
      <c r="A29">
        <v>33</v>
      </c>
      <c r="B29">
        <v>35</v>
      </c>
      <c r="G29" s="13">
        <f t="shared" si="0"/>
        <v>7000</v>
      </c>
      <c r="H29" s="13">
        <v>0.77</v>
      </c>
    </row>
    <row r="30" spans="1:8">
      <c r="A30">
        <v>34</v>
      </c>
      <c r="B30">
        <v>35</v>
      </c>
      <c r="G30" s="13">
        <f t="shared" si="0"/>
        <v>7250</v>
      </c>
      <c r="H30" s="13">
        <v>0.76500000000000001</v>
      </c>
    </row>
    <row r="31" spans="1:8">
      <c r="A31">
        <v>35</v>
      </c>
      <c r="B31">
        <v>35</v>
      </c>
      <c r="G31" s="13">
        <f t="shared" si="0"/>
        <v>7500</v>
      </c>
      <c r="H31" s="13">
        <v>0.76</v>
      </c>
    </row>
    <row r="32" spans="1:8">
      <c r="G32" s="13">
        <f t="shared" si="0"/>
        <v>7750</v>
      </c>
      <c r="H32" s="13">
        <v>0.755</v>
      </c>
    </row>
    <row r="33" spans="7:8">
      <c r="G33" s="13">
        <f t="shared" si="0"/>
        <v>8000</v>
      </c>
      <c r="H33" s="13">
        <v>0.75</v>
      </c>
    </row>
    <row r="34" spans="7:8">
      <c r="G34" s="13">
        <f t="shared" si="0"/>
        <v>8250</v>
      </c>
      <c r="H34" s="13">
        <v>0.74250000000000005</v>
      </c>
    </row>
    <row r="35" spans="7:8">
      <c r="G35" s="13">
        <f t="shared" si="0"/>
        <v>8500</v>
      </c>
      <c r="H35" s="13">
        <v>0.73499999999999999</v>
      </c>
    </row>
    <row r="36" spans="7:8">
      <c r="G36" s="13">
        <f t="shared" si="0"/>
        <v>8750</v>
      </c>
      <c r="H36" s="13">
        <v>0.72750000000000004</v>
      </c>
    </row>
    <row r="37" spans="7:8">
      <c r="G37" s="13">
        <f t="shared" si="0"/>
        <v>9000</v>
      </c>
      <c r="H37" s="13">
        <v>0.72</v>
      </c>
    </row>
    <row r="38" spans="7:8">
      <c r="G38" s="13">
        <f t="shared" si="0"/>
        <v>9250</v>
      </c>
      <c r="H38" s="13">
        <v>0.71250000000000002</v>
      </c>
    </row>
    <row r="39" spans="7:8">
      <c r="G39" s="13">
        <f t="shared" si="0"/>
        <v>9500</v>
      </c>
      <c r="H39" s="13">
        <v>0.70499999999999996</v>
      </c>
    </row>
    <row r="40" spans="7:8">
      <c r="G40" s="13">
        <f t="shared" si="0"/>
        <v>9750</v>
      </c>
      <c r="H40" s="13">
        <v>0.69750000000000001</v>
      </c>
    </row>
    <row r="41" spans="7:8">
      <c r="G41" s="13">
        <f t="shared" si="0"/>
        <v>10000</v>
      </c>
      <c r="H41" s="13">
        <v>0.69</v>
      </c>
    </row>
    <row r="42" spans="7:8">
      <c r="G42" s="13">
        <f t="shared" si="0"/>
        <v>10250</v>
      </c>
      <c r="H42" s="13">
        <v>0.6825</v>
      </c>
    </row>
    <row r="43" spans="7:8">
      <c r="G43" s="13">
        <f t="shared" si="0"/>
        <v>10500</v>
      </c>
      <c r="H43" s="13">
        <v>0.67500000000000004</v>
      </c>
    </row>
    <row r="44" spans="7:8">
      <c r="G44" s="13">
        <f t="shared" si="0"/>
        <v>10750</v>
      </c>
      <c r="H44" s="13">
        <v>0.66749999999999998</v>
      </c>
    </row>
    <row r="45" spans="7:8">
      <c r="G45" s="13">
        <f t="shared" si="0"/>
        <v>11000</v>
      </c>
      <c r="H45" s="13">
        <v>0.66</v>
      </c>
    </row>
    <row r="46" spans="7:8">
      <c r="G46" s="13">
        <f t="shared" si="0"/>
        <v>11250</v>
      </c>
      <c r="H46" s="13">
        <v>0.65249999999999997</v>
      </c>
    </row>
    <row r="47" spans="7:8">
      <c r="G47" s="13">
        <f t="shared" si="0"/>
        <v>11500</v>
      </c>
      <c r="H47" s="13">
        <v>0.64500000000000002</v>
      </c>
    </row>
    <row r="48" spans="7:8">
      <c r="G48" s="13">
        <f t="shared" si="0"/>
        <v>11750</v>
      </c>
      <c r="H48" s="13">
        <v>0.63749999999999996</v>
      </c>
    </row>
    <row r="49" spans="7:8">
      <c r="G49" s="13">
        <f t="shared" si="0"/>
        <v>12000</v>
      </c>
      <c r="H49" s="13">
        <v>0.63</v>
      </c>
    </row>
  </sheetData>
  <mergeCells count="3">
    <mergeCell ref="C3:D3"/>
    <mergeCell ref="C4:D4"/>
    <mergeCell ref="A4:B4"/>
  </mergeCells>
  <phoneticPr fontId="25"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B2"/>
  <sheetViews>
    <sheetView workbookViewId="0">
      <selection activeCell="A3" sqref="A3"/>
    </sheetView>
  </sheetViews>
  <sheetFormatPr defaultColWidth="8.88671875" defaultRowHeight="15"/>
  <cols>
    <col min="1" max="1" width="52.33203125" bestFit="1" customWidth="1"/>
  </cols>
  <sheetData>
    <row r="1" spans="1:2">
      <c r="A1" s="2" t="s">
        <v>1237</v>
      </c>
      <c r="B1">
        <v>0</v>
      </c>
    </row>
    <row r="2" spans="1:2">
      <c r="A2" s="2" t="s">
        <v>1238</v>
      </c>
      <c r="B2">
        <v>1707</v>
      </c>
    </row>
  </sheetData>
  <phoneticPr fontId="25" type="noConversion"/>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8"/>
  <dimension ref="B3:D22"/>
  <sheetViews>
    <sheetView showGridLines="0" showRowColHeaders="0" zoomScale="90" workbookViewId="0"/>
  </sheetViews>
  <sheetFormatPr defaultColWidth="8.88671875" defaultRowHeight="12.75"/>
  <cols>
    <col min="1" max="1" width="2.77734375" style="304" customWidth="1"/>
    <col min="2" max="16384" width="8.88671875" style="304"/>
  </cols>
  <sheetData>
    <row r="3" spans="2:4">
      <c r="D3" s="304" t="s">
        <v>2378</v>
      </c>
    </row>
    <row r="4" spans="2:4">
      <c r="D4" s="304" t="s">
        <v>2372</v>
      </c>
    </row>
    <row r="6" spans="2:4">
      <c r="B6" s="304" t="s">
        <v>2380</v>
      </c>
    </row>
    <row r="7" spans="2:4">
      <c r="B7" s="304" t="s">
        <v>2373</v>
      </c>
    </row>
    <row r="9" spans="2:4">
      <c r="B9" s="304" t="s">
        <v>2381</v>
      </c>
    </row>
    <row r="11" spans="2:4">
      <c r="B11" s="304" t="s">
        <v>2374</v>
      </c>
    </row>
    <row r="13" spans="2:4">
      <c r="B13" s="304" t="s">
        <v>2375</v>
      </c>
    </row>
    <row r="14" spans="2:4">
      <c r="B14" s="304" t="s">
        <v>2371</v>
      </c>
    </row>
    <row r="15" spans="2:4">
      <c r="B15" s="304" t="s">
        <v>2376</v>
      </c>
    </row>
    <row r="17" spans="2:2">
      <c r="B17" s="304" t="s">
        <v>2377</v>
      </c>
    </row>
    <row r="18" spans="2:2">
      <c r="B18" s="304" t="s">
        <v>1166</v>
      </c>
    </row>
    <row r="19" spans="2:2">
      <c r="B19" s="304" t="s">
        <v>1165</v>
      </c>
    </row>
    <row r="21" spans="2:2">
      <c r="B21" s="304" t="s">
        <v>2369</v>
      </c>
    </row>
    <row r="22" spans="2:2">
      <c r="B22" s="304" t="s">
        <v>2370</v>
      </c>
    </row>
  </sheetData>
  <phoneticPr fontId="25" type="noConversion"/>
  <pageMargins left="0.75" right="0.75" top="1" bottom="1" header="0.5" footer="0.5"/>
  <pageSetup orientation="portrait" horizontalDpi="0" verticalDpi="0" r:id="rId1"/>
  <headerFooter alignWithMargins="0"/>
  <customProperties>
    <customPr name="SSCSheetTrackingNo" r:id="rId2"/>
  </customPropertie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indexed="10"/>
    <pageSetUpPr fitToPage="1"/>
  </sheetPr>
  <dimension ref="B1:C3190"/>
  <sheetViews>
    <sheetView showGridLines="0" showRowColHeaders="0" showZeros="0" showOutlineSymbols="0" zoomScale="90" zoomScaleNormal="90" workbookViewId="0">
      <selection activeCell="B1" sqref="B1:C1"/>
    </sheetView>
  </sheetViews>
  <sheetFormatPr defaultColWidth="8.88671875" defaultRowHeight="15" customHeight="1"/>
  <cols>
    <col min="1" max="1" width="2.77734375" style="129" customWidth="1"/>
    <col min="2" max="2" width="2.77734375" style="449" customWidth="1"/>
    <col min="3" max="3" width="85.77734375" style="129" customWidth="1"/>
    <col min="4" max="16384" width="8.88671875" style="129"/>
  </cols>
  <sheetData>
    <row r="1" spans="2:3" ht="15.75">
      <c r="B1" s="711" t="s">
        <v>1350</v>
      </c>
      <c r="C1" s="711"/>
    </row>
    <row r="2" spans="2:3" ht="15" customHeight="1">
      <c r="C2" s="497"/>
    </row>
    <row r="3" spans="2:3" ht="66.95" customHeight="1">
      <c r="B3" s="709" t="s">
        <v>1070</v>
      </c>
      <c r="C3" s="715"/>
    </row>
    <row r="4" spans="2:3">
      <c r="B4" s="712" t="s">
        <v>1334</v>
      </c>
      <c r="C4" s="713"/>
    </row>
    <row r="5" spans="2:3" ht="27" customHeight="1">
      <c r="B5" s="714" t="s">
        <v>1071</v>
      </c>
      <c r="C5" s="713"/>
    </row>
    <row r="6" spans="2:3">
      <c r="B6" s="550" t="s">
        <v>2631</v>
      </c>
      <c r="C6" s="546" t="s">
        <v>1072</v>
      </c>
    </row>
    <row r="7" spans="2:3" ht="27" customHeight="1">
      <c r="B7" s="550" t="s">
        <v>2631</v>
      </c>
      <c r="C7" s="547" t="s">
        <v>2632</v>
      </c>
    </row>
    <row r="8" spans="2:3" ht="15" customHeight="1">
      <c r="B8" s="550" t="s">
        <v>2631</v>
      </c>
      <c r="C8" s="547" t="s">
        <v>2633</v>
      </c>
    </row>
    <row r="9" spans="2:3" ht="15" customHeight="1">
      <c r="B9" s="550" t="s">
        <v>2631</v>
      </c>
      <c r="C9" s="547" t="s">
        <v>2634</v>
      </c>
    </row>
    <row r="10" spans="2:3" ht="15" customHeight="1">
      <c r="B10" s="550" t="s">
        <v>2631</v>
      </c>
      <c r="C10" s="547" t="s">
        <v>2206</v>
      </c>
    </row>
    <row r="11" spans="2:3" ht="15" customHeight="1">
      <c r="B11" s="550" t="s">
        <v>2631</v>
      </c>
      <c r="C11" s="547" t="s">
        <v>1073</v>
      </c>
    </row>
    <row r="12" spans="2:3" ht="15" customHeight="1">
      <c r="B12" s="550" t="s">
        <v>2631</v>
      </c>
      <c r="C12" s="547" t="s">
        <v>2635</v>
      </c>
    </row>
    <row r="13" spans="2:3" ht="15" customHeight="1">
      <c r="B13" s="550" t="s">
        <v>2631</v>
      </c>
      <c r="C13" s="547" t="s">
        <v>2636</v>
      </c>
    </row>
    <row r="14" spans="2:3" ht="15" customHeight="1">
      <c r="B14" s="550" t="s">
        <v>2631</v>
      </c>
      <c r="C14" s="547" t="s">
        <v>2637</v>
      </c>
    </row>
    <row r="15" spans="2:3" ht="15" customHeight="1">
      <c r="B15" s="550" t="s">
        <v>2631</v>
      </c>
      <c r="C15" s="547" t="s">
        <v>2638</v>
      </c>
    </row>
    <row r="16" spans="2:3">
      <c r="B16" s="550" t="s">
        <v>2631</v>
      </c>
      <c r="C16" s="547" t="s">
        <v>1074</v>
      </c>
    </row>
    <row r="17" spans="2:3" ht="15" customHeight="1">
      <c r="B17" s="550" t="s">
        <v>2631</v>
      </c>
      <c r="C17" s="547" t="s">
        <v>2639</v>
      </c>
    </row>
    <row r="18" spans="2:3" ht="27" customHeight="1">
      <c r="B18" s="550" t="s">
        <v>2631</v>
      </c>
      <c r="C18" s="501" t="s">
        <v>1075</v>
      </c>
    </row>
    <row r="19" spans="2:3" ht="27" customHeight="1">
      <c r="B19" s="550" t="s">
        <v>2631</v>
      </c>
      <c r="C19" s="547" t="s">
        <v>1076</v>
      </c>
    </row>
    <row r="20" spans="2:3" ht="27" customHeight="1">
      <c r="B20" s="550" t="s">
        <v>2631</v>
      </c>
      <c r="C20" s="547" t="s">
        <v>1077</v>
      </c>
    </row>
    <row r="21" spans="2:3" ht="15" customHeight="1">
      <c r="B21" s="550" t="s">
        <v>2631</v>
      </c>
      <c r="C21" s="547" t="s">
        <v>2640</v>
      </c>
    </row>
    <row r="22" spans="2:3" ht="15" customHeight="1">
      <c r="B22" s="548"/>
      <c r="C22" s="547"/>
    </row>
    <row r="23" spans="2:3" ht="15" customHeight="1">
      <c r="B23" s="707" t="s">
        <v>1335</v>
      </c>
      <c r="C23" s="706"/>
    </row>
    <row r="24" spans="2:3" ht="15" customHeight="1">
      <c r="B24" s="709" t="s">
        <v>1078</v>
      </c>
      <c r="C24" s="710"/>
    </row>
    <row r="25" spans="2:3" ht="15" customHeight="1">
      <c r="B25" s="710"/>
      <c r="C25" s="710"/>
    </row>
    <row r="26" spans="2:3" ht="9.9499999999999993" customHeight="1">
      <c r="B26" s="551"/>
      <c r="C26" s="551"/>
    </row>
    <row r="27" spans="2:3" ht="15" customHeight="1">
      <c r="B27" s="707" t="s">
        <v>1336</v>
      </c>
      <c r="C27" s="708"/>
    </row>
    <row r="28" spans="2:3" ht="15" customHeight="1">
      <c r="B28" s="550" t="s">
        <v>2631</v>
      </c>
      <c r="C28" s="547" t="s">
        <v>2641</v>
      </c>
    </row>
    <row r="29" spans="2:3" ht="15" customHeight="1">
      <c r="B29" s="550" t="s">
        <v>2631</v>
      </c>
      <c r="C29" s="547" t="s">
        <v>2642</v>
      </c>
    </row>
    <row r="30" spans="2:3" ht="9.9499999999999993" customHeight="1">
      <c r="B30" s="548"/>
      <c r="C30" s="547"/>
    </row>
    <row r="31" spans="2:3" ht="15" customHeight="1">
      <c r="B31" s="707" t="s">
        <v>1337</v>
      </c>
      <c r="C31" s="706"/>
    </row>
    <row r="32" spans="2:3" ht="15" customHeight="1">
      <c r="B32" s="550" t="s">
        <v>2631</v>
      </c>
      <c r="C32" s="547" t="s">
        <v>2643</v>
      </c>
    </row>
    <row r="33" spans="2:3" ht="15" customHeight="1">
      <c r="B33" s="550" t="s">
        <v>2631</v>
      </c>
      <c r="C33" s="547" t="s">
        <v>2644</v>
      </c>
    </row>
    <row r="34" spans="2:3" ht="15" customHeight="1">
      <c r="B34" s="550" t="s">
        <v>2631</v>
      </c>
      <c r="C34" s="547" t="s">
        <v>2645</v>
      </c>
    </row>
    <row r="35" spans="2:3" ht="15" customHeight="1">
      <c r="B35" s="550" t="s">
        <v>2631</v>
      </c>
      <c r="C35" s="547" t="s">
        <v>2646</v>
      </c>
    </row>
    <row r="36" spans="2:3" ht="15" customHeight="1">
      <c r="B36" s="550" t="s">
        <v>2631</v>
      </c>
      <c r="C36" s="547" t="s">
        <v>2647</v>
      </c>
    </row>
    <row r="37" spans="2:3" ht="15" customHeight="1">
      <c r="B37" s="550" t="s">
        <v>2631</v>
      </c>
      <c r="C37" s="547" t="s">
        <v>2648</v>
      </c>
    </row>
    <row r="38" spans="2:3" ht="15" customHeight="1">
      <c r="B38" s="550" t="s">
        <v>2631</v>
      </c>
      <c r="C38" s="547" t="s">
        <v>2649</v>
      </c>
    </row>
    <row r="39" spans="2:3" ht="15" customHeight="1">
      <c r="B39" s="550" t="s">
        <v>2631</v>
      </c>
      <c r="C39" s="547" t="s">
        <v>2650</v>
      </c>
    </row>
    <row r="40" spans="2:3" ht="15" customHeight="1">
      <c r="B40" s="550" t="s">
        <v>2631</v>
      </c>
      <c r="C40" s="547" t="s">
        <v>2651</v>
      </c>
    </row>
    <row r="41" spans="2:3" ht="15" customHeight="1">
      <c r="B41" s="550" t="s">
        <v>2631</v>
      </c>
      <c r="C41" s="547" t="s">
        <v>2652</v>
      </c>
    </row>
    <row r="42" spans="2:3" ht="15" customHeight="1">
      <c r="B42" s="550" t="s">
        <v>2631</v>
      </c>
      <c r="C42" s="547" t="s">
        <v>2653</v>
      </c>
    </row>
    <row r="43" spans="2:3" ht="15" customHeight="1">
      <c r="B43" s="550" t="s">
        <v>2631</v>
      </c>
      <c r="C43" s="547" t="s">
        <v>2654</v>
      </c>
    </row>
    <row r="44" spans="2:3" ht="15" customHeight="1">
      <c r="B44" s="550" t="s">
        <v>2631</v>
      </c>
      <c r="C44" s="547" t="s">
        <v>2655</v>
      </c>
    </row>
    <row r="45" spans="2:3" ht="15" customHeight="1">
      <c r="B45" s="550" t="s">
        <v>2631</v>
      </c>
      <c r="C45" s="547" t="s">
        <v>2656</v>
      </c>
    </row>
    <row r="46" spans="2:3" ht="15" customHeight="1">
      <c r="B46" s="550" t="s">
        <v>2631</v>
      </c>
      <c r="C46" s="547" t="s">
        <v>2657</v>
      </c>
    </row>
    <row r="47" spans="2:3" ht="9.9499999999999993" customHeight="1">
      <c r="B47" s="548"/>
      <c r="C47" s="547"/>
    </row>
    <row r="48" spans="2:3" ht="15" customHeight="1">
      <c r="B48" s="707" t="s">
        <v>1189</v>
      </c>
      <c r="C48" s="706"/>
    </row>
    <row r="49" spans="2:3" ht="15" customHeight="1">
      <c r="B49" s="550" t="s">
        <v>2631</v>
      </c>
      <c r="C49" s="547" t="s">
        <v>2701</v>
      </c>
    </row>
    <row r="50" spans="2:3" ht="15" customHeight="1">
      <c r="B50" s="550" t="s">
        <v>2631</v>
      </c>
      <c r="C50" s="547" t="s">
        <v>2702</v>
      </c>
    </row>
    <row r="51" spans="2:3" ht="15" customHeight="1">
      <c r="B51" s="550" t="s">
        <v>2631</v>
      </c>
      <c r="C51" s="547" t="s">
        <v>2713</v>
      </c>
    </row>
    <row r="52" spans="2:3" ht="15" customHeight="1">
      <c r="B52" s="550" t="s">
        <v>2631</v>
      </c>
      <c r="C52" s="547" t="s">
        <v>2714</v>
      </c>
    </row>
    <row r="53" spans="2:3" ht="15" customHeight="1">
      <c r="B53" s="550" t="s">
        <v>2631</v>
      </c>
      <c r="C53" s="547" t="s">
        <v>2715</v>
      </c>
    </row>
    <row r="54" spans="2:3" ht="9.9499999999999993" customHeight="1">
      <c r="B54" s="548"/>
      <c r="C54" s="547"/>
    </row>
    <row r="55" spans="2:3" ht="15" customHeight="1">
      <c r="B55" s="707" t="s">
        <v>1338</v>
      </c>
      <c r="C55" s="706"/>
    </row>
    <row r="56" spans="2:3" ht="15" customHeight="1">
      <c r="B56" s="550" t="s">
        <v>2631</v>
      </c>
      <c r="C56" s="547" t="s">
        <v>2699</v>
      </c>
    </row>
    <row r="57" spans="2:3" ht="15" customHeight="1">
      <c r="B57" s="550" t="s">
        <v>2631</v>
      </c>
      <c r="C57" s="547" t="s">
        <v>2700</v>
      </c>
    </row>
    <row r="58" spans="2:3" ht="9.9499999999999993" customHeight="1">
      <c r="B58" s="548"/>
      <c r="C58" s="547"/>
    </row>
    <row r="59" spans="2:3" ht="15" customHeight="1">
      <c r="B59" s="707" t="s">
        <v>1228</v>
      </c>
      <c r="C59" s="706"/>
    </row>
    <row r="60" spans="2:3" ht="15" customHeight="1">
      <c r="B60" s="550" t="s">
        <v>2631</v>
      </c>
      <c r="C60" s="547" t="s">
        <v>2694</v>
      </c>
    </row>
    <row r="61" spans="2:3" ht="15" customHeight="1">
      <c r="B61" s="550" t="s">
        <v>2631</v>
      </c>
      <c r="C61" s="547" t="s">
        <v>2695</v>
      </c>
    </row>
    <row r="62" spans="2:3" ht="15" customHeight="1">
      <c r="B62" s="550" t="s">
        <v>2631</v>
      </c>
      <c r="C62" s="547" t="s">
        <v>2696</v>
      </c>
    </row>
    <row r="63" spans="2:3" ht="15" customHeight="1">
      <c r="B63" s="550" t="s">
        <v>2631</v>
      </c>
      <c r="C63" s="547" t="s">
        <v>2697</v>
      </c>
    </row>
    <row r="64" spans="2:3" ht="15" customHeight="1">
      <c r="B64" s="550" t="s">
        <v>2631</v>
      </c>
      <c r="C64" s="547" t="s">
        <v>2698</v>
      </c>
    </row>
    <row r="65" spans="2:3" ht="9.9499999999999993" customHeight="1">
      <c r="B65" s="548"/>
      <c r="C65" s="552"/>
    </row>
    <row r="66" spans="2:3" ht="15" customHeight="1">
      <c r="B66" s="707" t="s">
        <v>1339</v>
      </c>
      <c r="C66" s="706"/>
    </row>
    <row r="67" spans="2:3" ht="15" customHeight="1">
      <c r="B67" s="550" t="s">
        <v>2631</v>
      </c>
      <c r="C67" s="547" t="s">
        <v>2688</v>
      </c>
    </row>
    <row r="68" spans="2:3" ht="15" customHeight="1">
      <c r="B68" s="550" t="s">
        <v>2631</v>
      </c>
      <c r="C68" s="547" t="s">
        <v>2689</v>
      </c>
    </row>
    <row r="69" spans="2:3" ht="15" customHeight="1">
      <c r="B69" s="550" t="s">
        <v>2631</v>
      </c>
      <c r="C69" s="547" t="s">
        <v>2690</v>
      </c>
    </row>
    <row r="70" spans="2:3" ht="15" customHeight="1">
      <c r="B70" s="550" t="s">
        <v>2631</v>
      </c>
      <c r="C70" s="547" t="s">
        <v>2691</v>
      </c>
    </row>
    <row r="71" spans="2:3" ht="15" customHeight="1">
      <c r="B71" s="550" t="s">
        <v>2631</v>
      </c>
      <c r="C71" s="547" t="s">
        <v>2692</v>
      </c>
    </row>
    <row r="72" spans="2:3" ht="15" customHeight="1">
      <c r="B72" s="550" t="s">
        <v>2631</v>
      </c>
      <c r="C72" s="547" t="s">
        <v>2693</v>
      </c>
    </row>
    <row r="73" spans="2:3" ht="9.9499999999999993" customHeight="1">
      <c r="B73" s="548"/>
      <c r="C73" s="547"/>
    </row>
    <row r="74" spans="2:3" ht="15" customHeight="1">
      <c r="B74" s="707" t="s">
        <v>1231</v>
      </c>
      <c r="C74" s="706"/>
    </row>
    <row r="75" spans="2:3" ht="15" customHeight="1">
      <c r="B75" s="550" t="s">
        <v>2631</v>
      </c>
      <c r="C75" s="547" t="s">
        <v>2679</v>
      </c>
    </row>
    <row r="76" spans="2:3" ht="15" customHeight="1">
      <c r="B76" s="550" t="s">
        <v>2631</v>
      </c>
      <c r="C76" s="547" t="s">
        <v>2680</v>
      </c>
    </row>
    <row r="77" spans="2:3" ht="15" customHeight="1">
      <c r="B77" s="550" t="s">
        <v>2631</v>
      </c>
      <c r="C77" s="547" t="s">
        <v>2681</v>
      </c>
    </row>
    <row r="78" spans="2:3" ht="15" customHeight="1">
      <c r="B78" s="550" t="s">
        <v>2631</v>
      </c>
      <c r="C78" s="547" t="s">
        <v>2682</v>
      </c>
    </row>
    <row r="79" spans="2:3" ht="15" customHeight="1">
      <c r="B79" s="550" t="s">
        <v>2631</v>
      </c>
      <c r="C79" s="547" t="s">
        <v>2683</v>
      </c>
    </row>
    <row r="80" spans="2:3" ht="15" customHeight="1">
      <c r="B80" s="550" t="s">
        <v>2631</v>
      </c>
      <c r="C80" s="547" t="s">
        <v>2684</v>
      </c>
    </row>
    <row r="81" spans="2:3" ht="15" customHeight="1">
      <c r="B81" s="550" t="s">
        <v>2631</v>
      </c>
      <c r="C81" s="547" t="s">
        <v>2686</v>
      </c>
    </row>
    <row r="82" spans="2:3" ht="9.9499999999999993" customHeight="1">
      <c r="B82" s="548"/>
      <c r="C82" s="547"/>
    </row>
    <row r="83" spans="2:3" ht="15" customHeight="1">
      <c r="B83" s="707" t="s">
        <v>1191</v>
      </c>
      <c r="C83" s="706"/>
    </row>
    <row r="84" spans="2:3" ht="15" customHeight="1">
      <c r="B84" s="550" t="s">
        <v>2631</v>
      </c>
      <c r="C84" s="547" t="s">
        <v>2676</v>
      </c>
    </row>
    <row r="85" spans="2:3" ht="15" customHeight="1">
      <c r="B85" s="550" t="s">
        <v>2631</v>
      </c>
      <c r="C85" s="547" t="s">
        <v>2677</v>
      </c>
    </row>
    <row r="86" spans="2:3" ht="15" customHeight="1">
      <c r="B86" s="550" t="s">
        <v>2631</v>
      </c>
      <c r="C86" s="547" t="s">
        <v>2678</v>
      </c>
    </row>
    <row r="87" spans="2:3" ht="15" customHeight="1">
      <c r="B87" s="550" t="s">
        <v>2631</v>
      </c>
      <c r="C87" s="547" t="s">
        <v>2675</v>
      </c>
    </row>
    <row r="88" spans="2:3" ht="9.9499999999999993" customHeight="1">
      <c r="B88" s="548"/>
      <c r="C88" s="547"/>
    </row>
    <row r="89" spans="2:3" ht="15" customHeight="1">
      <c r="B89" s="707" t="s">
        <v>1193</v>
      </c>
      <c r="C89" s="706"/>
    </row>
    <row r="90" spans="2:3" ht="15" customHeight="1">
      <c r="B90" s="550" t="s">
        <v>2631</v>
      </c>
      <c r="C90" s="547" t="s">
        <v>2674</v>
      </c>
    </row>
    <row r="91" spans="2:3" ht="15" customHeight="1">
      <c r="B91" s="550" t="s">
        <v>2631</v>
      </c>
      <c r="C91" s="547" t="s">
        <v>2673</v>
      </c>
    </row>
    <row r="92" spans="2:3" ht="15" customHeight="1">
      <c r="B92" s="550" t="s">
        <v>2631</v>
      </c>
      <c r="C92" s="547" t="s">
        <v>2672</v>
      </c>
    </row>
    <row r="93" spans="2:3" ht="9.9499999999999993" customHeight="1">
      <c r="B93" s="548"/>
      <c r="C93" s="547"/>
    </row>
    <row r="94" spans="2:3" ht="15" customHeight="1">
      <c r="B94" s="707" t="s">
        <v>1340</v>
      </c>
      <c r="C94" s="706"/>
    </row>
    <row r="95" spans="2:3" ht="15" customHeight="1">
      <c r="B95" s="550" t="s">
        <v>2631</v>
      </c>
      <c r="C95" s="547" t="s">
        <v>2671</v>
      </c>
    </row>
    <row r="96" spans="2:3">
      <c r="B96" s="550" t="s">
        <v>2631</v>
      </c>
      <c r="C96" s="547" t="s">
        <v>2670</v>
      </c>
    </row>
    <row r="97" spans="2:3" ht="27" customHeight="1">
      <c r="B97" s="550" t="s">
        <v>2631</v>
      </c>
      <c r="C97" s="547" t="s">
        <v>2669</v>
      </c>
    </row>
    <row r="98" spans="2:3" ht="15" customHeight="1">
      <c r="B98" s="550" t="s">
        <v>2631</v>
      </c>
      <c r="C98" s="547" t="s">
        <v>2667</v>
      </c>
    </row>
    <row r="99" spans="2:3" ht="9.9499999999999993" customHeight="1">
      <c r="B99" s="548"/>
      <c r="C99" s="552"/>
    </row>
    <row r="100" spans="2:3" ht="15" customHeight="1">
      <c r="B100" s="707" t="s">
        <v>1341</v>
      </c>
      <c r="C100" s="706"/>
    </row>
    <row r="101" spans="2:3" ht="15" customHeight="1">
      <c r="B101" s="550" t="s">
        <v>2631</v>
      </c>
      <c r="C101" s="547" t="s">
        <v>2666</v>
      </c>
    </row>
    <row r="102" spans="2:3" ht="15" customHeight="1">
      <c r="B102" s="550" t="s">
        <v>2631</v>
      </c>
      <c r="C102" s="547" t="s">
        <v>2665</v>
      </c>
    </row>
    <row r="103" spans="2:3">
      <c r="B103" s="550" t="s">
        <v>2631</v>
      </c>
      <c r="C103" s="547" t="s">
        <v>2664</v>
      </c>
    </row>
    <row r="104" spans="2:3" ht="25.5">
      <c r="B104" s="550" t="s">
        <v>2631</v>
      </c>
      <c r="C104" s="547" t="s">
        <v>2660</v>
      </c>
    </row>
    <row r="105" spans="2:3" ht="27" customHeight="1">
      <c r="B105" s="550" t="s">
        <v>2631</v>
      </c>
      <c r="C105" s="547" t="s">
        <v>2663</v>
      </c>
    </row>
    <row r="106" spans="2:3" ht="9.9499999999999993" customHeight="1">
      <c r="B106" s="550"/>
      <c r="C106" s="547"/>
    </row>
    <row r="107" spans="2:3" ht="15" customHeight="1">
      <c r="B107" s="707" t="s">
        <v>1342</v>
      </c>
      <c r="C107" s="706"/>
    </row>
    <row r="108" spans="2:3" ht="15" customHeight="1">
      <c r="B108" s="550" t="s">
        <v>2631</v>
      </c>
      <c r="C108" s="547" t="s">
        <v>2658</v>
      </c>
    </row>
    <row r="109" spans="2:3" ht="15" customHeight="1">
      <c r="B109" s="550" t="s">
        <v>2631</v>
      </c>
      <c r="C109" s="547" t="s">
        <v>2659</v>
      </c>
    </row>
    <row r="110" spans="2:3" ht="15" customHeight="1">
      <c r="B110" s="550"/>
      <c r="C110" s="547"/>
    </row>
    <row r="111" spans="2:3" ht="15" customHeight="1">
      <c r="B111" s="707" t="s">
        <v>2207</v>
      </c>
      <c r="C111" s="706"/>
    </row>
    <row r="112" spans="2:3" ht="27" customHeight="1">
      <c r="B112" s="705" t="s">
        <v>1080</v>
      </c>
      <c r="C112" s="706"/>
    </row>
    <row r="113" spans="2:3" ht="15" customHeight="1">
      <c r="B113" s="550"/>
      <c r="C113" s="547"/>
    </row>
    <row r="114" spans="2:3" ht="15" customHeight="1">
      <c r="B114" s="707" t="s">
        <v>1343</v>
      </c>
      <c r="C114" s="706"/>
    </row>
    <row r="115" spans="2:3" ht="39" customHeight="1">
      <c r="B115" s="705" t="s">
        <v>1346</v>
      </c>
      <c r="C115" s="706"/>
    </row>
    <row r="116" spans="2:3" ht="15" customHeight="1">
      <c r="B116" s="548"/>
      <c r="C116" s="547"/>
    </row>
    <row r="117" spans="2:3" ht="15" customHeight="1">
      <c r="B117" s="707" t="s">
        <v>1347</v>
      </c>
      <c r="C117" s="706"/>
    </row>
    <row r="118" spans="2:3" ht="39" customHeight="1">
      <c r="B118" s="705" t="s">
        <v>1351</v>
      </c>
      <c r="C118" s="706"/>
    </row>
    <row r="119" spans="2:3">
      <c r="B119" s="548"/>
      <c r="C119" s="547"/>
    </row>
    <row r="120" spans="2:3" ht="15" customHeight="1">
      <c r="B120" s="707" t="s">
        <v>1348</v>
      </c>
      <c r="C120" s="706"/>
    </row>
    <row r="121" spans="2:3" ht="39" customHeight="1">
      <c r="B121" s="705" t="s">
        <v>1349</v>
      </c>
      <c r="C121" s="706"/>
    </row>
    <row r="122" spans="2:3" ht="15" customHeight="1">
      <c r="B122" s="548"/>
      <c r="C122" s="552"/>
    </row>
    <row r="123" spans="2:3" ht="15" customHeight="1">
      <c r="B123" s="548"/>
      <c r="C123" s="552"/>
    </row>
    <row r="124" spans="2:3" ht="15" customHeight="1">
      <c r="B124" s="548"/>
      <c r="C124" s="552"/>
    </row>
    <row r="125" spans="2:3" ht="15" customHeight="1">
      <c r="B125" s="548"/>
      <c r="C125" s="552"/>
    </row>
    <row r="126" spans="2:3" ht="15" customHeight="1">
      <c r="B126" s="548"/>
      <c r="C126" s="552"/>
    </row>
    <row r="127" spans="2:3" ht="15" customHeight="1">
      <c r="B127" s="548"/>
      <c r="C127" s="552"/>
    </row>
    <row r="128" spans="2:3" ht="15" customHeight="1">
      <c r="B128" s="548"/>
      <c r="C128" s="552"/>
    </row>
    <row r="129" spans="2:3" ht="15" customHeight="1">
      <c r="B129" s="548"/>
      <c r="C129" s="552"/>
    </row>
    <row r="130" spans="2:3" ht="15" customHeight="1">
      <c r="B130" s="548"/>
      <c r="C130" s="552"/>
    </row>
    <row r="131" spans="2:3" ht="15" customHeight="1">
      <c r="B131" s="548"/>
      <c r="C131" s="552"/>
    </row>
    <row r="132" spans="2:3" ht="15" customHeight="1">
      <c r="B132" s="548"/>
      <c r="C132" s="552"/>
    </row>
    <row r="133" spans="2:3" ht="15" customHeight="1">
      <c r="B133" s="548"/>
      <c r="C133" s="552"/>
    </row>
    <row r="134" spans="2:3" ht="15" customHeight="1">
      <c r="B134" s="548"/>
      <c r="C134" s="552"/>
    </row>
    <row r="135" spans="2:3" ht="15" customHeight="1">
      <c r="B135" s="548"/>
      <c r="C135" s="552"/>
    </row>
    <row r="136" spans="2:3" ht="15" customHeight="1">
      <c r="B136" s="548"/>
      <c r="C136" s="552"/>
    </row>
    <row r="137" spans="2:3" ht="15" customHeight="1">
      <c r="B137" s="548"/>
      <c r="C137" s="552"/>
    </row>
    <row r="138" spans="2:3" ht="15" customHeight="1">
      <c r="B138" s="548"/>
      <c r="C138" s="552"/>
    </row>
    <row r="139" spans="2:3" ht="15" customHeight="1">
      <c r="B139" s="548"/>
      <c r="C139" s="552"/>
    </row>
    <row r="140" spans="2:3" ht="15" customHeight="1">
      <c r="B140" s="548"/>
      <c r="C140" s="552"/>
    </row>
    <row r="141" spans="2:3" ht="15" customHeight="1">
      <c r="B141" s="548"/>
      <c r="C141" s="552"/>
    </row>
    <row r="142" spans="2:3" ht="15" customHeight="1">
      <c r="B142" s="548"/>
      <c r="C142" s="552"/>
    </row>
    <row r="143" spans="2:3" ht="15" customHeight="1">
      <c r="B143" s="548"/>
      <c r="C143" s="552"/>
    </row>
    <row r="144" spans="2:3" ht="15" customHeight="1">
      <c r="B144" s="548"/>
      <c r="C144" s="552"/>
    </row>
    <row r="145" spans="2:3" ht="15" customHeight="1">
      <c r="B145" s="548"/>
      <c r="C145" s="552"/>
    </row>
    <row r="146" spans="2:3" ht="15" customHeight="1">
      <c r="B146" s="548"/>
      <c r="C146" s="552"/>
    </row>
    <row r="147" spans="2:3" ht="15" customHeight="1">
      <c r="B147" s="548"/>
      <c r="C147" s="552"/>
    </row>
    <row r="148" spans="2:3" ht="15" customHeight="1">
      <c r="B148" s="548"/>
      <c r="C148" s="552"/>
    </row>
    <row r="149" spans="2:3" ht="15" customHeight="1">
      <c r="B149" s="548"/>
      <c r="C149" s="552"/>
    </row>
    <row r="150" spans="2:3" ht="15" customHeight="1">
      <c r="B150" s="548"/>
      <c r="C150" s="552"/>
    </row>
    <row r="151" spans="2:3" ht="15" customHeight="1">
      <c r="B151" s="548"/>
      <c r="C151" s="552"/>
    </row>
    <row r="152" spans="2:3" ht="15" customHeight="1">
      <c r="B152" s="548"/>
      <c r="C152" s="552"/>
    </row>
    <row r="153" spans="2:3" ht="15" customHeight="1">
      <c r="B153" s="548"/>
      <c r="C153" s="552"/>
    </row>
    <row r="154" spans="2:3" ht="15" customHeight="1">
      <c r="B154" s="548"/>
      <c r="C154" s="552"/>
    </row>
    <row r="155" spans="2:3" ht="15" customHeight="1">
      <c r="B155" s="548"/>
      <c r="C155" s="552"/>
    </row>
    <row r="156" spans="2:3" ht="15" customHeight="1">
      <c r="B156" s="548"/>
      <c r="C156" s="552"/>
    </row>
    <row r="157" spans="2:3" ht="15" customHeight="1">
      <c r="B157" s="548"/>
      <c r="C157" s="552"/>
    </row>
    <row r="158" spans="2:3" ht="15" customHeight="1">
      <c r="B158" s="548"/>
      <c r="C158" s="552"/>
    </row>
    <row r="159" spans="2:3" ht="15" customHeight="1">
      <c r="B159" s="548"/>
      <c r="C159" s="552"/>
    </row>
    <row r="160" spans="2:3" ht="15" customHeight="1">
      <c r="B160" s="548"/>
      <c r="C160" s="552"/>
    </row>
    <row r="161" spans="2:3" ht="15" customHeight="1">
      <c r="B161" s="548"/>
      <c r="C161" s="552"/>
    </row>
    <row r="162" spans="2:3" ht="15" customHeight="1">
      <c r="B162" s="548"/>
      <c r="C162" s="552"/>
    </row>
    <row r="163" spans="2:3" ht="15" customHeight="1">
      <c r="B163" s="548"/>
      <c r="C163" s="549"/>
    </row>
    <row r="164" spans="2:3" ht="15" customHeight="1">
      <c r="B164" s="548"/>
      <c r="C164" s="549"/>
    </row>
    <row r="165" spans="2:3" ht="15" customHeight="1">
      <c r="B165" s="548"/>
      <c r="C165" s="549"/>
    </row>
    <row r="166" spans="2:3" ht="15" customHeight="1">
      <c r="B166" s="548"/>
      <c r="C166" s="549"/>
    </row>
    <row r="167" spans="2:3" ht="15" customHeight="1">
      <c r="B167" s="548"/>
      <c r="C167" s="549"/>
    </row>
    <row r="168" spans="2:3" ht="15" customHeight="1">
      <c r="B168" s="548"/>
      <c r="C168" s="549"/>
    </row>
    <row r="169" spans="2:3" ht="15" customHeight="1">
      <c r="B169" s="548"/>
      <c r="C169" s="549"/>
    </row>
    <row r="170" spans="2:3" ht="15" customHeight="1">
      <c r="B170" s="548"/>
      <c r="C170" s="549"/>
    </row>
    <row r="171" spans="2:3" ht="15" customHeight="1">
      <c r="B171" s="548"/>
      <c r="C171" s="549"/>
    </row>
    <row r="172" spans="2:3" ht="15" customHeight="1">
      <c r="B172" s="548"/>
      <c r="C172" s="549"/>
    </row>
    <row r="173" spans="2:3" ht="15" customHeight="1">
      <c r="B173" s="548"/>
      <c r="C173" s="549"/>
    </row>
    <row r="174" spans="2:3" ht="15" customHeight="1">
      <c r="B174" s="548"/>
      <c r="C174" s="549"/>
    </row>
    <row r="175" spans="2:3" ht="15" customHeight="1">
      <c r="B175" s="548"/>
      <c r="C175" s="549"/>
    </row>
    <row r="176" spans="2:3" ht="15" customHeight="1">
      <c r="B176" s="548"/>
      <c r="C176" s="549"/>
    </row>
    <row r="177" spans="2:3" ht="15" customHeight="1">
      <c r="B177" s="548"/>
      <c r="C177" s="549"/>
    </row>
    <row r="178" spans="2:3" ht="15" customHeight="1">
      <c r="B178" s="548"/>
      <c r="C178" s="549"/>
    </row>
    <row r="179" spans="2:3" ht="15" customHeight="1">
      <c r="B179" s="548"/>
      <c r="C179" s="549"/>
    </row>
    <row r="180" spans="2:3" ht="15" customHeight="1">
      <c r="B180" s="548"/>
      <c r="C180" s="549"/>
    </row>
    <row r="181" spans="2:3" ht="15" customHeight="1">
      <c r="B181" s="548"/>
      <c r="C181" s="549"/>
    </row>
    <row r="182" spans="2:3" ht="15" customHeight="1">
      <c r="B182" s="548"/>
      <c r="C182" s="549"/>
    </row>
    <row r="183" spans="2:3" ht="15" customHeight="1">
      <c r="B183" s="548"/>
      <c r="C183" s="549"/>
    </row>
    <row r="184" spans="2:3" ht="15" customHeight="1">
      <c r="B184" s="548"/>
      <c r="C184" s="549"/>
    </row>
    <row r="185" spans="2:3" ht="15" customHeight="1">
      <c r="B185" s="548"/>
      <c r="C185" s="549"/>
    </row>
    <row r="186" spans="2:3" ht="15" customHeight="1">
      <c r="B186" s="548"/>
      <c r="C186" s="549"/>
    </row>
    <row r="187" spans="2:3" ht="15" customHeight="1">
      <c r="B187" s="548"/>
      <c r="C187" s="549"/>
    </row>
    <row r="188" spans="2:3" ht="15" customHeight="1">
      <c r="B188" s="548"/>
      <c r="C188" s="549"/>
    </row>
    <row r="189" spans="2:3" ht="15" customHeight="1">
      <c r="B189" s="548"/>
      <c r="C189" s="549"/>
    </row>
    <row r="190" spans="2:3" ht="15" customHeight="1">
      <c r="B190" s="548"/>
      <c r="C190" s="549"/>
    </row>
    <row r="191" spans="2:3" ht="15" customHeight="1">
      <c r="B191" s="548"/>
      <c r="C191" s="549"/>
    </row>
    <row r="192" spans="2:3" ht="15" customHeight="1">
      <c r="B192" s="548"/>
      <c r="C192" s="549"/>
    </row>
    <row r="193" spans="2:3" ht="15" customHeight="1">
      <c r="B193" s="548"/>
      <c r="C193" s="549"/>
    </row>
    <row r="194" spans="2:3" ht="15" customHeight="1">
      <c r="B194" s="548"/>
      <c r="C194" s="549"/>
    </row>
    <row r="195" spans="2:3" ht="15" customHeight="1">
      <c r="B195" s="548"/>
      <c r="C195" s="549"/>
    </row>
    <row r="196" spans="2:3" ht="15" customHeight="1">
      <c r="B196" s="548"/>
      <c r="C196" s="549"/>
    </row>
    <row r="197" spans="2:3" ht="15" customHeight="1">
      <c r="B197" s="548"/>
      <c r="C197" s="549"/>
    </row>
    <row r="198" spans="2:3" ht="15" customHeight="1">
      <c r="B198" s="548"/>
      <c r="C198" s="549"/>
    </row>
    <row r="199" spans="2:3" ht="15" customHeight="1">
      <c r="B199" s="548"/>
      <c r="C199" s="549"/>
    </row>
    <row r="200" spans="2:3" ht="15" customHeight="1">
      <c r="B200" s="548"/>
      <c r="C200" s="549"/>
    </row>
    <row r="201" spans="2:3" ht="15" customHeight="1">
      <c r="B201" s="548"/>
      <c r="C201" s="549"/>
    </row>
    <row r="202" spans="2:3" ht="15" customHeight="1">
      <c r="B202" s="548"/>
      <c r="C202" s="549"/>
    </row>
    <row r="203" spans="2:3" ht="15" customHeight="1">
      <c r="B203" s="548"/>
      <c r="C203" s="549"/>
    </row>
    <row r="204" spans="2:3" ht="15" customHeight="1">
      <c r="B204" s="548"/>
      <c r="C204" s="549"/>
    </row>
    <row r="205" spans="2:3" ht="15" customHeight="1">
      <c r="B205" s="548"/>
      <c r="C205" s="549"/>
    </row>
    <row r="206" spans="2:3" ht="15" customHeight="1">
      <c r="B206" s="548"/>
      <c r="C206" s="549"/>
    </row>
    <row r="207" spans="2:3" ht="15" customHeight="1">
      <c r="B207" s="548"/>
      <c r="C207" s="549"/>
    </row>
    <row r="208" spans="2:3" ht="15" customHeight="1">
      <c r="B208" s="548"/>
      <c r="C208" s="549"/>
    </row>
    <row r="209" spans="2:3" ht="15" customHeight="1">
      <c r="B209" s="548"/>
      <c r="C209" s="549"/>
    </row>
    <row r="210" spans="2:3" ht="15" customHeight="1">
      <c r="B210" s="548"/>
      <c r="C210" s="549"/>
    </row>
    <row r="211" spans="2:3" ht="15" customHeight="1">
      <c r="B211" s="548"/>
      <c r="C211" s="549"/>
    </row>
    <row r="212" spans="2:3" ht="15" customHeight="1">
      <c r="B212" s="548"/>
      <c r="C212" s="549"/>
    </row>
    <row r="213" spans="2:3" ht="15" customHeight="1">
      <c r="B213" s="548"/>
      <c r="C213" s="549"/>
    </row>
    <row r="214" spans="2:3" ht="15" customHeight="1">
      <c r="B214" s="548"/>
      <c r="C214" s="549"/>
    </row>
    <row r="215" spans="2:3" ht="15" customHeight="1">
      <c r="B215" s="548"/>
      <c r="C215" s="549"/>
    </row>
    <row r="216" spans="2:3" ht="15" customHeight="1">
      <c r="B216" s="548"/>
      <c r="C216" s="549"/>
    </row>
    <row r="217" spans="2:3" ht="15" customHeight="1">
      <c r="B217" s="548"/>
      <c r="C217" s="549"/>
    </row>
    <row r="218" spans="2:3" ht="15" customHeight="1">
      <c r="B218" s="548"/>
      <c r="C218" s="549"/>
    </row>
    <row r="219" spans="2:3" ht="15" customHeight="1">
      <c r="B219" s="548"/>
      <c r="C219" s="549"/>
    </row>
    <row r="220" spans="2:3" ht="15" customHeight="1">
      <c r="B220" s="548"/>
      <c r="C220" s="549"/>
    </row>
    <row r="221" spans="2:3" ht="15" customHeight="1">
      <c r="B221" s="548"/>
      <c r="C221" s="549"/>
    </row>
    <row r="222" spans="2:3" ht="15" customHeight="1">
      <c r="B222" s="548"/>
      <c r="C222" s="549"/>
    </row>
    <row r="223" spans="2:3" ht="15" customHeight="1">
      <c r="B223" s="548"/>
      <c r="C223" s="549"/>
    </row>
    <row r="224" spans="2:3" ht="15" customHeight="1">
      <c r="B224" s="548"/>
      <c r="C224" s="549"/>
    </row>
    <row r="225" spans="2:3" ht="15" customHeight="1">
      <c r="B225" s="548"/>
      <c r="C225" s="549"/>
    </row>
    <row r="226" spans="2:3" ht="15" customHeight="1">
      <c r="B226" s="548"/>
      <c r="C226" s="549"/>
    </row>
    <row r="227" spans="2:3" ht="15" customHeight="1">
      <c r="B227" s="548"/>
      <c r="C227" s="549"/>
    </row>
    <row r="228" spans="2:3" ht="15" customHeight="1">
      <c r="B228" s="548"/>
      <c r="C228" s="549"/>
    </row>
    <row r="229" spans="2:3" ht="15" customHeight="1">
      <c r="B229" s="548"/>
      <c r="C229" s="549"/>
    </row>
    <row r="230" spans="2:3" ht="15" customHeight="1">
      <c r="B230" s="548"/>
      <c r="C230" s="549"/>
    </row>
    <row r="231" spans="2:3" ht="15" customHeight="1">
      <c r="B231" s="548"/>
      <c r="C231" s="549"/>
    </row>
    <row r="232" spans="2:3" ht="15" customHeight="1">
      <c r="B232" s="548"/>
      <c r="C232" s="549"/>
    </row>
    <row r="233" spans="2:3" ht="15" customHeight="1">
      <c r="B233" s="548"/>
      <c r="C233" s="549"/>
    </row>
    <row r="234" spans="2:3" ht="15" customHeight="1">
      <c r="B234" s="548"/>
      <c r="C234" s="549"/>
    </row>
    <row r="235" spans="2:3" ht="15" customHeight="1">
      <c r="B235" s="548"/>
      <c r="C235" s="549"/>
    </row>
    <row r="236" spans="2:3" ht="15" customHeight="1">
      <c r="B236" s="548"/>
      <c r="C236" s="549"/>
    </row>
    <row r="237" spans="2:3" ht="15" customHeight="1">
      <c r="B237" s="548"/>
      <c r="C237" s="549"/>
    </row>
    <row r="238" spans="2:3" ht="15" customHeight="1">
      <c r="B238" s="548"/>
      <c r="C238" s="549"/>
    </row>
    <row r="239" spans="2:3" ht="15" customHeight="1">
      <c r="B239" s="548"/>
      <c r="C239" s="549"/>
    </row>
    <row r="240" spans="2:3" ht="15" customHeight="1">
      <c r="B240" s="548"/>
      <c r="C240" s="549"/>
    </row>
    <row r="241" spans="2:3" ht="15" customHeight="1">
      <c r="B241" s="548"/>
      <c r="C241" s="549"/>
    </row>
    <row r="242" spans="2:3" ht="15" customHeight="1">
      <c r="B242" s="548"/>
      <c r="C242" s="549"/>
    </row>
    <row r="243" spans="2:3" ht="15" customHeight="1">
      <c r="B243" s="548"/>
      <c r="C243" s="549"/>
    </row>
    <row r="244" spans="2:3" ht="15" customHeight="1">
      <c r="B244" s="548"/>
      <c r="C244" s="549"/>
    </row>
    <row r="245" spans="2:3" ht="15" customHeight="1">
      <c r="B245" s="548"/>
      <c r="C245" s="549"/>
    </row>
    <row r="246" spans="2:3" ht="15" customHeight="1">
      <c r="B246" s="548"/>
      <c r="C246" s="549"/>
    </row>
    <row r="247" spans="2:3" ht="15" customHeight="1">
      <c r="B247" s="548"/>
      <c r="C247" s="549"/>
    </row>
    <row r="248" spans="2:3" ht="15" customHeight="1">
      <c r="B248" s="548"/>
      <c r="C248" s="549"/>
    </row>
    <row r="249" spans="2:3" ht="15" customHeight="1">
      <c r="B249" s="548"/>
      <c r="C249" s="549"/>
    </row>
    <row r="250" spans="2:3" ht="15" customHeight="1">
      <c r="B250" s="548"/>
      <c r="C250" s="549"/>
    </row>
    <row r="251" spans="2:3" ht="15" customHeight="1">
      <c r="B251" s="548"/>
      <c r="C251" s="549"/>
    </row>
    <row r="252" spans="2:3" ht="15" customHeight="1">
      <c r="B252" s="548"/>
      <c r="C252" s="549"/>
    </row>
    <row r="253" spans="2:3" ht="15" customHeight="1">
      <c r="B253" s="548"/>
      <c r="C253" s="549"/>
    </row>
    <row r="254" spans="2:3" ht="15" customHeight="1">
      <c r="B254" s="548"/>
      <c r="C254" s="549"/>
    </row>
    <row r="255" spans="2:3" ht="15" customHeight="1">
      <c r="B255" s="548"/>
      <c r="C255" s="549"/>
    </row>
    <row r="256" spans="2:3" ht="15" customHeight="1">
      <c r="B256" s="548"/>
      <c r="C256" s="549"/>
    </row>
    <row r="257" spans="2:3" ht="15" customHeight="1">
      <c r="B257" s="548"/>
      <c r="C257" s="549"/>
    </row>
    <row r="258" spans="2:3" ht="15" customHeight="1">
      <c r="B258" s="548"/>
      <c r="C258" s="549"/>
    </row>
    <row r="259" spans="2:3" ht="15" customHeight="1">
      <c r="B259" s="548"/>
      <c r="C259" s="549"/>
    </row>
    <row r="260" spans="2:3" ht="15" customHeight="1">
      <c r="B260" s="548"/>
      <c r="C260" s="549"/>
    </row>
    <row r="261" spans="2:3" ht="15" customHeight="1">
      <c r="B261" s="548"/>
      <c r="C261" s="549"/>
    </row>
    <row r="262" spans="2:3" ht="15" customHeight="1">
      <c r="B262" s="548"/>
      <c r="C262" s="549"/>
    </row>
    <row r="263" spans="2:3" ht="15" customHeight="1">
      <c r="B263" s="548"/>
      <c r="C263" s="549"/>
    </row>
    <row r="264" spans="2:3" ht="15" customHeight="1">
      <c r="B264" s="548"/>
      <c r="C264" s="549"/>
    </row>
    <row r="265" spans="2:3" ht="15" customHeight="1">
      <c r="B265" s="548"/>
      <c r="C265" s="549"/>
    </row>
    <row r="266" spans="2:3" ht="15" customHeight="1">
      <c r="B266" s="548"/>
      <c r="C266" s="549"/>
    </row>
    <row r="267" spans="2:3" ht="15" customHeight="1">
      <c r="B267" s="548"/>
      <c r="C267" s="549"/>
    </row>
    <row r="268" spans="2:3" ht="15" customHeight="1">
      <c r="B268" s="548"/>
      <c r="C268" s="549"/>
    </row>
    <row r="269" spans="2:3" ht="15" customHeight="1">
      <c r="B269" s="548"/>
      <c r="C269" s="549"/>
    </row>
    <row r="270" spans="2:3" ht="15" customHeight="1">
      <c r="B270" s="548"/>
      <c r="C270" s="549"/>
    </row>
    <row r="271" spans="2:3" ht="15" customHeight="1">
      <c r="B271" s="548"/>
      <c r="C271" s="549"/>
    </row>
    <row r="272" spans="2:3" ht="15" customHeight="1">
      <c r="B272" s="548"/>
      <c r="C272" s="549"/>
    </row>
    <row r="273" spans="2:3" ht="15" customHeight="1">
      <c r="B273" s="548"/>
      <c r="C273" s="549"/>
    </row>
    <row r="274" spans="2:3" ht="15" customHeight="1">
      <c r="B274" s="548"/>
      <c r="C274" s="549"/>
    </row>
    <row r="275" spans="2:3" ht="15" customHeight="1">
      <c r="B275" s="548"/>
      <c r="C275" s="549"/>
    </row>
    <row r="276" spans="2:3" ht="15" customHeight="1">
      <c r="B276" s="548"/>
      <c r="C276" s="549"/>
    </row>
    <row r="277" spans="2:3" ht="15" customHeight="1">
      <c r="B277" s="548"/>
      <c r="C277" s="549"/>
    </row>
    <row r="278" spans="2:3" ht="15" customHeight="1">
      <c r="B278" s="548"/>
      <c r="C278" s="549"/>
    </row>
    <row r="279" spans="2:3" ht="15" customHeight="1">
      <c r="B279" s="548"/>
      <c r="C279" s="549"/>
    </row>
    <row r="280" spans="2:3" ht="15" customHeight="1">
      <c r="B280" s="548"/>
      <c r="C280" s="549"/>
    </row>
    <row r="281" spans="2:3" ht="15" customHeight="1">
      <c r="B281" s="548"/>
      <c r="C281" s="549"/>
    </row>
    <row r="282" spans="2:3" ht="15" customHeight="1">
      <c r="B282" s="548"/>
      <c r="C282" s="549"/>
    </row>
    <row r="283" spans="2:3" ht="15" customHeight="1">
      <c r="B283" s="548"/>
      <c r="C283" s="549"/>
    </row>
    <row r="284" spans="2:3" ht="15" customHeight="1">
      <c r="B284" s="548"/>
      <c r="C284" s="549"/>
    </row>
    <row r="285" spans="2:3" ht="15" customHeight="1">
      <c r="B285" s="548"/>
      <c r="C285" s="549"/>
    </row>
    <row r="286" spans="2:3" ht="15" customHeight="1">
      <c r="B286" s="548"/>
      <c r="C286" s="549"/>
    </row>
    <row r="287" spans="2:3" ht="15" customHeight="1">
      <c r="B287" s="548"/>
      <c r="C287" s="549"/>
    </row>
    <row r="288" spans="2:3" ht="15" customHeight="1">
      <c r="B288" s="548"/>
      <c r="C288" s="549"/>
    </row>
    <row r="289" spans="2:3" ht="15" customHeight="1">
      <c r="B289" s="548"/>
      <c r="C289" s="549"/>
    </row>
    <row r="290" spans="2:3" ht="15" customHeight="1">
      <c r="B290" s="548"/>
      <c r="C290" s="549"/>
    </row>
    <row r="291" spans="2:3" ht="15" customHeight="1">
      <c r="B291" s="548"/>
      <c r="C291" s="549"/>
    </row>
    <row r="292" spans="2:3" ht="15" customHeight="1">
      <c r="B292" s="548"/>
      <c r="C292" s="549"/>
    </row>
    <row r="293" spans="2:3" ht="15" customHeight="1">
      <c r="B293" s="548"/>
      <c r="C293" s="549"/>
    </row>
    <row r="294" spans="2:3" ht="15" customHeight="1">
      <c r="B294" s="548"/>
      <c r="C294" s="549"/>
    </row>
    <row r="295" spans="2:3" ht="15" customHeight="1">
      <c r="B295" s="548"/>
      <c r="C295" s="549"/>
    </row>
    <row r="296" spans="2:3" ht="15" customHeight="1">
      <c r="B296" s="548"/>
      <c r="C296" s="549"/>
    </row>
    <row r="297" spans="2:3" ht="15" customHeight="1">
      <c r="B297" s="548"/>
      <c r="C297" s="549"/>
    </row>
    <row r="298" spans="2:3" ht="15" customHeight="1">
      <c r="B298" s="548"/>
      <c r="C298" s="549"/>
    </row>
    <row r="299" spans="2:3" ht="15" customHeight="1">
      <c r="B299" s="548"/>
      <c r="C299" s="549"/>
    </row>
    <row r="300" spans="2:3" ht="15" customHeight="1">
      <c r="B300" s="548"/>
      <c r="C300" s="549"/>
    </row>
    <row r="301" spans="2:3" ht="15" customHeight="1">
      <c r="B301" s="548"/>
      <c r="C301" s="549"/>
    </row>
    <row r="302" spans="2:3" ht="15" customHeight="1">
      <c r="B302" s="548"/>
      <c r="C302" s="549"/>
    </row>
    <row r="303" spans="2:3" ht="15" customHeight="1">
      <c r="B303" s="548"/>
      <c r="C303" s="549"/>
    </row>
    <row r="304" spans="2:3" ht="15" customHeight="1">
      <c r="B304" s="548"/>
      <c r="C304" s="549"/>
    </row>
    <row r="305" spans="2:3" ht="15" customHeight="1">
      <c r="B305" s="548"/>
      <c r="C305" s="549"/>
    </row>
    <row r="306" spans="2:3" ht="15" customHeight="1">
      <c r="B306" s="548"/>
      <c r="C306" s="549"/>
    </row>
    <row r="307" spans="2:3" ht="15" customHeight="1">
      <c r="B307" s="548"/>
      <c r="C307" s="549"/>
    </row>
    <row r="308" spans="2:3" ht="15" customHeight="1">
      <c r="B308" s="548"/>
      <c r="C308" s="549"/>
    </row>
    <row r="309" spans="2:3" ht="15" customHeight="1">
      <c r="B309" s="548"/>
      <c r="C309" s="549"/>
    </row>
    <row r="310" spans="2:3" ht="15" customHeight="1">
      <c r="B310" s="548"/>
      <c r="C310" s="549"/>
    </row>
    <row r="311" spans="2:3" ht="15" customHeight="1">
      <c r="B311" s="548"/>
      <c r="C311" s="549"/>
    </row>
    <row r="312" spans="2:3" ht="15" customHeight="1">
      <c r="B312" s="548"/>
      <c r="C312" s="549"/>
    </row>
    <row r="313" spans="2:3" ht="15" customHeight="1">
      <c r="B313" s="548"/>
      <c r="C313" s="549"/>
    </row>
    <row r="314" spans="2:3" ht="15" customHeight="1">
      <c r="B314" s="548"/>
      <c r="C314" s="549"/>
    </row>
    <row r="315" spans="2:3" ht="15" customHeight="1">
      <c r="B315" s="548"/>
      <c r="C315" s="549"/>
    </row>
    <row r="316" spans="2:3" ht="15" customHeight="1">
      <c r="B316" s="548"/>
      <c r="C316" s="549"/>
    </row>
    <row r="317" spans="2:3" ht="15" customHeight="1">
      <c r="B317" s="548"/>
      <c r="C317" s="549"/>
    </row>
    <row r="318" spans="2:3" ht="15" customHeight="1">
      <c r="B318" s="548"/>
      <c r="C318" s="549"/>
    </row>
    <row r="319" spans="2:3" ht="15" customHeight="1">
      <c r="B319" s="548"/>
      <c r="C319" s="549"/>
    </row>
    <row r="320" spans="2:3" ht="15" customHeight="1">
      <c r="B320" s="548"/>
      <c r="C320" s="549"/>
    </row>
    <row r="321" spans="2:3" ht="15" customHeight="1">
      <c r="B321" s="548"/>
      <c r="C321" s="549"/>
    </row>
    <row r="322" spans="2:3" ht="15" customHeight="1">
      <c r="B322" s="548"/>
      <c r="C322" s="549"/>
    </row>
    <row r="323" spans="2:3" ht="15" customHeight="1">
      <c r="B323" s="548"/>
      <c r="C323" s="549"/>
    </row>
    <row r="324" spans="2:3" ht="15" customHeight="1">
      <c r="B324" s="548"/>
      <c r="C324" s="549"/>
    </row>
    <row r="325" spans="2:3" ht="15" customHeight="1">
      <c r="B325" s="548"/>
      <c r="C325" s="549"/>
    </row>
    <row r="326" spans="2:3" ht="15" customHeight="1">
      <c r="B326" s="548"/>
      <c r="C326" s="549"/>
    </row>
    <row r="327" spans="2:3" ht="15" customHeight="1">
      <c r="B327" s="548"/>
      <c r="C327" s="549"/>
    </row>
    <row r="328" spans="2:3" ht="15" customHeight="1">
      <c r="B328" s="548"/>
      <c r="C328" s="549"/>
    </row>
    <row r="329" spans="2:3" ht="15" customHeight="1">
      <c r="B329" s="548"/>
      <c r="C329" s="549"/>
    </row>
    <row r="330" spans="2:3" ht="15" customHeight="1">
      <c r="B330" s="548"/>
      <c r="C330" s="549"/>
    </row>
    <row r="331" spans="2:3" ht="15" customHeight="1">
      <c r="B331" s="548"/>
      <c r="C331" s="549"/>
    </row>
    <row r="332" spans="2:3" ht="15" customHeight="1">
      <c r="B332" s="548"/>
      <c r="C332" s="549"/>
    </row>
    <row r="333" spans="2:3" ht="15" customHeight="1">
      <c r="B333" s="548"/>
      <c r="C333" s="549"/>
    </row>
    <row r="334" spans="2:3" ht="15" customHeight="1">
      <c r="B334" s="548"/>
      <c r="C334" s="549"/>
    </row>
    <row r="335" spans="2:3" ht="15" customHeight="1">
      <c r="B335" s="548"/>
      <c r="C335" s="549"/>
    </row>
    <row r="336" spans="2:3" ht="15" customHeight="1">
      <c r="B336" s="548"/>
      <c r="C336" s="549"/>
    </row>
    <row r="337" spans="2:3" ht="15" customHeight="1">
      <c r="B337" s="548"/>
      <c r="C337" s="549"/>
    </row>
    <row r="338" spans="2:3" ht="15" customHeight="1">
      <c r="B338" s="548"/>
      <c r="C338" s="549"/>
    </row>
    <row r="339" spans="2:3" ht="15" customHeight="1">
      <c r="B339" s="548"/>
      <c r="C339" s="549"/>
    </row>
    <row r="340" spans="2:3" ht="15" customHeight="1">
      <c r="B340" s="548"/>
      <c r="C340" s="549"/>
    </row>
    <row r="341" spans="2:3" ht="15" customHeight="1">
      <c r="B341" s="548"/>
      <c r="C341" s="549"/>
    </row>
    <row r="342" spans="2:3" ht="15" customHeight="1">
      <c r="B342" s="548"/>
      <c r="C342" s="549"/>
    </row>
    <row r="343" spans="2:3" ht="15" customHeight="1">
      <c r="B343" s="548"/>
      <c r="C343" s="549"/>
    </row>
    <row r="344" spans="2:3" ht="15" customHeight="1">
      <c r="B344" s="548"/>
      <c r="C344" s="549"/>
    </row>
    <row r="345" spans="2:3" ht="15" customHeight="1">
      <c r="B345" s="548"/>
      <c r="C345" s="549"/>
    </row>
    <row r="346" spans="2:3" ht="15" customHeight="1">
      <c r="B346" s="548"/>
      <c r="C346" s="549"/>
    </row>
    <row r="347" spans="2:3" ht="15" customHeight="1">
      <c r="B347" s="548"/>
      <c r="C347" s="549"/>
    </row>
    <row r="348" spans="2:3" ht="15" customHeight="1">
      <c r="B348" s="548"/>
      <c r="C348" s="549"/>
    </row>
    <row r="349" spans="2:3" ht="15" customHeight="1">
      <c r="B349" s="548"/>
      <c r="C349" s="549"/>
    </row>
    <row r="350" spans="2:3" ht="15" customHeight="1">
      <c r="B350" s="548"/>
      <c r="C350" s="549"/>
    </row>
    <row r="351" spans="2:3" ht="15" customHeight="1">
      <c r="B351" s="548"/>
      <c r="C351" s="549"/>
    </row>
    <row r="352" spans="2:3" ht="15" customHeight="1">
      <c r="B352" s="548"/>
      <c r="C352" s="549"/>
    </row>
    <row r="353" spans="2:3" ht="15" customHeight="1">
      <c r="B353" s="548"/>
      <c r="C353" s="549"/>
    </row>
    <row r="354" spans="2:3" ht="15" customHeight="1">
      <c r="B354" s="548"/>
      <c r="C354" s="549"/>
    </row>
    <row r="355" spans="2:3" ht="15" customHeight="1">
      <c r="B355" s="548"/>
      <c r="C355" s="549"/>
    </row>
    <row r="356" spans="2:3" ht="15" customHeight="1">
      <c r="B356" s="548"/>
      <c r="C356" s="549"/>
    </row>
    <row r="357" spans="2:3" ht="15" customHeight="1">
      <c r="B357" s="548"/>
      <c r="C357" s="549"/>
    </row>
    <row r="358" spans="2:3" ht="15" customHeight="1">
      <c r="B358" s="548"/>
      <c r="C358" s="549"/>
    </row>
    <row r="359" spans="2:3" ht="15" customHeight="1">
      <c r="B359" s="548"/>
      <c r="C359" s="549"/>
    </row>
    <row r="360" spans="2:3" ht="15" customHeight="1">
      <c r="B360" s="548"/>
      <c r="C360" s="549"/>
    </row>
    <row r="361" spans="2:3" ht="15" customHeight="1">
      <c r="B361" s="548"/>
      <c r="C361" s="549"/>
    </row>
    <row r="362" spans="2:3" ht="15" customHeight="1">
      <c r="B362" s="548"/>
      <c r="C362" s="549"/>
    </row>
    <row r="363" spans="2:3" ht="15" customHeight="1">
      <c r="B363" s="548"/>
      <c r="C363" s="549"/>
    </row>
    <row r="364" spans="2:3" ht="15" customHeight="1">
      <c r="B364" s="548"/>
      <c r="C364" s="549"/>
    </row>
    <row r="365" spans="2:3" ht="15" customHeight="1">
      <c r="B365" s="548"/>
      <c r="C365" s="549"/>
    </row>
    <row r="366" spans="2:3" ht="15" customHeight="1">
      <c r="B366" s="548"/>
      <c r="C366" s="549"/>
    </row>
    <row r="367" spans="2:3" ht="15" customHeight="1">
      <c r="B367" s="548"/>
      <c r="C367" s="549"/>
    </row>
    <row r="368" spans="2:3" ht="15" customHeight="1">
      <c r="B368" s="548"/>
      <c r="C368" s="549"/>
    </row>
    <row r="369" spans="2:3" ht="15" customHeight="1">
      <c r="B369" s="548"/>
      <c r="C369" s="549"/>
    </row>
    <row r="370" spans="2:3" ht="15" customHeight="1">
      <c r="B370" s="548"/>
      <c r="C370" s="549"/>
    </row>
    <row r="371" spans="2:3" ht="15" customHeight="1">
      <c r="B371" s="548"/>
      <c r="C371" s="549"/>
    </row>
    <row r="372" spans="2:3" ht="15" customHeight="1">
      <c r="B372" s="548"/>
      <c r="C372" s="549"/>
    </row>
    <row r="373" spans="2:3" ht="15" customHeight="1">
      <c r="B373" s="548"/>
      <c r="C373" s="549"/>
    </row>
    <row r="374" spans="2:3" ht="15" customHeight="1">
      <c r="B374" s="548"/>
      <c r="C374" s="549"/>
    </row>
    <row r="375" spans="2:3" ht="15" customHeight="1">
      <c r="B375" s="548"/>
      <c r="C375" s="549"/>
    </row>
    <row r="376" spans="2:3" ht="15" customHeight="1">
      <c r="B376" s="548"/>
      <c r="C376" s="549"/>
    </row>
    <row r="377" spans="2:3" ht="15" customHeight="1">
      <c r="B377" s="548"/>
      <c r="C377" s="549"/>
    </row>
    <row r="378" spans="2:3" ht="15" customHeight="1">
      <c r="B378" s="548"/>
      <c r="C378" s="549"/>
    </row>
    <row r="379" spans="2:3" ht="15" customHeight="1">
      <c r="B379" s="548"/>
      <c r="C379" s="549"/>
    </row>
    <row r="380" spans="2:3" ht="15" customHeight="1">
      <c r="B380" s="548"/>
      <c r="C380" s="549"/>
    </row>
    <row r="381" spans="2:3" ht="15" customHeight="1">
      <c r="B381" s="548"/>
      <c r="C381" s="549"/>
    </row>
    <row r="382" spans="2:3" ht="15" customHeight="1">
      <c r="B382" s="548"/>
      <c r="C382" s="549"/>
    </row>
    <row r="383" spans="2:3" ht="15" customHeight="1">
      <c r="B383" s="548"/>
      <c r="C383" s="549"/>
    </row>
    <row r="384" spans="2:3" ht="15" customHeight="1">
      <c r="B384" s="548"/>
      <c r="C384" s="549"/>
    </row>
    <row r="385" spans="2:3" ht="15" customHeight="1">
      <c r="B385" s="548"/>
      <c r="C385" s="549"/>
    </row>
    <row r="386" spans="2:3" ht="15" customHeight="1">
      <c r="B386" s="548"/>
      <c r="C386" s="549"/>
    </row>
    <row r="387" spans="2:3" ht="15" customHeight="1">
      <c r="B387" s="548"/>
      <c r="C387" s="549"/>
    </row>
    <row r="388" spans="2:3" ht="15" customHeight="1">
      <c r="B388" s="548"/>
      <c r="C388" s="549"/>
    </row>
    <row r="389" spans="2:3" ht="15" customHeight="1">
      <c r="B389" s="548"/>
      <c r="C389" s="549"/>
    </row>
    <row r="390" spans="2:3" ht="15" customHeight="1">
      <c r="B390" s="548"/>
      <c r="C390" s="549"/>
    </row>
    <row r="391" spans="2:3" ht="15" customHeight="1">
      <c r="B391" s="548"/>
      <c r="C391" s="549"/>
    </row>
    <row r="392" spans="2:3" ht="15" customHeight="1">
      <c r="B392" s="548"/>
      <c r="C392" s="549"/>
    </row>
    <row r="393" spans="2:3" ht="15" customHeight="1">
      <c r="B393" s="548"/>
      <c r="C393" s="549"/>
    </row>
    <row r="394" spans="2:3" ht="15" customHeight="1">
      <c r="B394" s="548"/>
      <c r="C394" s="549"/>
    </row>
    <row r="395" spans="2:3" ht="15" customHeight="1">
      <c r="B395" s="548"/>
      <c r="C395" s="549"/>
    </row>
    <row r="396" spans="2:3" ht="15" customHeight="1">
      <c r="B396" s="548"/>
      <c r="C396" s="549"/>
    </row>
    <row r="397" spans="2:3" ht="15" customHeight="1">
      <c r="B397" s="548"/>
      <c r="C397" s="549"/>
    </row>
    <row r="398" spans="2:3" ht="15" customHeight="1">
      <c r="B398" s="548"/>
      <c r="C398" s="549"/>
    </row>
    <row r="399" spans="2:3" ht="15" customHeight="1">
      <c r="B399" s="548"/>
      <c r="C399" s="549"/>
    </row>
    <row r="400" spans="2:3" ht="15" customHeight="1">
      <c r="B400" s="548"/>
      <c r="C400" s="549"/>
    </row>
    <row r="401" spans="2:3" ht="15" customHeight="1">
      <c r="B401" s="548"/>
      <c r="C401" s="549"/>
    </row>
    <row r="402" spans="2:3" ht="15" customHeight="1">
      <c r="B402" s="548"/>
      <c r="C402" s="549"/>
    </row>
    <row r="403" spans="2:3" ht="15" customHeight="1">
      <c r="B403" s="548"/>
      <c r="C403" s="549"/>
    </row>
    <row r="404" spans="2:3" ht="15" customHeight="1">
      <c r="B404" s="548"/>
      <c r="C404" s="549"/>
    </row>
    <row r="405" spans="2:3" ht="15" customHeight="1">
      <c r="B405" s="548"/>
      <c r="C405" s="549"/>
    </row>
    <row r="406" spans="2:3" ht="15" customHeight="1">
      <c r="B406" s="548"/>
      <c r="C406" s="549"/>
    </row>
    <row r="407" spans="2:3" ht="15" customHeight="1">
      <c r="B407" s="548"/>
      <c r="C407" s="549"/>
    </row>
    <row r="408" spans="2:3" ht="15" customHeight="1">
      <c r="B408" s="548"/>
      <c r="C408" s="549"/>
    </row>
    <row r="409" spans="2:3" ht="15" customHeight="1">
      <c r="B409" s="548"/>
      <c r="C409" s="549"/>
    </row>
    <row r="410" spans="2:3" ht="15" customHeight="1">
      <c r="B410" s="548"/>
      <c r="C410" s="549"/>
    </row>
    <row r="411" spans="2:3" ht="15" customHeight="1">
      <c r="B411" s="548"/>
      <c r="C411" s="549"/>
    </row>
    <row r="412" spans="2:3" ht="15" customHeight="1">
      <c r="B412" s="548"/>
      <c r="C412" s="549"/>
    </row>
    <row r="413" spans="2:3" ht="15" customHeight="1">
      <c r="B413" s="548"/>
      <c r="C413" s="549"/>
    </row>
    <row r="414" spans="2:3" ht="15" customHeight="1">
      <c r="B414" s="548"/>
      <c r="C414" s="549"/>
    </row>
    <row r="415" spans="2:3" ht="15" customHeight="1">
      <c r="B415" s="548"/>
      <c r="C415" s="549"/>
    </row>
    <row r="416" spans="2:3" ht="15" customHeight="1">
      <c r="B416" s="548"/>
      <c r="C416" s="549"/>
    </row>
    <row r="417" spans="2:3" ht="15" customHeight="1">
      <c r="B417" s="548"/>
      <c r="C417" s="549"/>
    </row>
    <row r="418" spans="2:3" ht="15" customHeight="1">
      <c r="B418" s="548"/>
      <c r="C418" s="549"/>
    </row>
    <row r="419" spans="2:3" ht="15" customHeight="1">
      <c r="B419" s="548"/>
      <c r="C419" s="549"/>
    </row>
    <row r="420" spans="2:3" ht="15" customHeight="1">
      <c r="B420" s="548"/>
      <c r="C420" s="549"/>
    </row>
    <row r="421" spans="2:3" ht="15" customHeight="1">
      <c r="B421" s="548"/>
      <c r="C421" s="549"/>
    </row>
    <row r="422" spans="2:3" ht="15" customHeight="1">
      <c r="B422" s="548"/>
      <c r="C422" s="549"/>
    </row>
    <row r="423" spans="2:3" ht="15" customHeight="1">
      <c r="B423" s="548"/>
      <c r="C423" s="549"/>
    </row>
    <row r="424" spans="2:3" ht="15" customHeight="1">
      <c r="B424" s="548"/>
      <c r="C424" s="549"/>
    </row>
    <row r="425" spans="2:3" ht="15" customHeight="1">
      <c r="B425" s="548"/>
      <c r="C425" s="549"/>
    </row>
    <row r="426" spans="2:3" ht="15" customHeight="1">
      <c r="B426" s="548"/>
      <c r="C426" s="549"/>
    </row>
    <row r="427" spans="2:3" ht="15" customHeight="1">
      <c r="B427" s="548"/>
      <c r="C427" s="549"/>
    </row>
    <row r="428" spans="2:3" ht="15" customHeight="1">
      <c r="B428" s="548"/>
      <c r="C428" s="549"/>
    </row>
    <row r="429" spans="2:3" ht="15" customHeight="1">
      <c r="B429" s="548"/>
      <c r="C429" s="549"/>
    </row>
    <row r="430" spans="2:3" ht="15" customHeight="1">
      <c r="B430" s="548"/>
      <c r="C430" s="549"/>
    </row>
    <row r="431" spans="2:3" ht="15" customHeight="1">
      <c r="B431" s="548"/>
      <c r="C431" s="549"/>
    </row>
    <row r="432" spans="2:3" ht="15" customHeight="1">
      <c r="B432" s="548"/>
      <c r="C432" s="549"/>
    </row>
    <row r="433" spans="2:3" ht="15" customHeight="1">
      <c r="B433" s="548"/>
      <c r="C433" s="549"/>
    </row>
    <row r="434" spans="2:3" ht="15" customHeight="1">
      <c r="B434" s="548"/>
      <c r="C434" s="549"/>
    </row>
    <row r="435" spans="2:3" ht="15" customHeight="1">
      <c r="B435" s="548"/>
      <c r="C435" s="549"/>
    </row>
    <row r="436" spans="2:3" ht="15" customHeight="1">
      <c r="B436" s="548"/>
      <c r="C436" s="549"/>
    </row>
    <row r="437" spans="2:3" ht="15" customHeight="1">
      <c r="B437" s="548"/>
      <c r="C437" s="549"/>
    </row>
    <row r="438" spans="2:3" ht="15" customHeight="1">
      <c r="B438" s="548"/>
      <c r="C438" s="549"/>
    </row>
    <row r="439" spans="2:3" ht="15" customHeight="1">
      <c r="B439" s="548"/>
      <c r="C439" s="549"/>
    </row>
    <row r="440" spans="2:3" ht="15" customHeight="1">
      <c r="B440" s="548"/>
      <c r="C440" s="549"/>
    </row>
    <row r="441" spans="2:3" ht="15" customHeight="1">
      <c r="B441" s="548"/>
      <c r="C441" s="549"/>
    </row>
    <row r="442" spans="2:3" ht="15" customHeight="1">
      <c r="B442" s="548"/>
      <c r="C442" s="549"/>
    </row>
    <row r="443" spans="2:3" ht="15" customHeight="1">
      <c r="B443" s="548"/>
      <c r="C443" s="549"/>
    </row>
    <row r="444" spans="2:3" ht="15" customHeight="1">
      <c r="B444" s="548"/>
      <c r="C444" s="549"/>
    </row>
    <row r="445" spans="2:3" ht="15" customHeight="1">
      <c r="B445" s="548"/>
      <c r="C445" s="549"/>
    </row>
    <row r="446" spans="2:3" ht="15" customHeight="1">
      <c r="B446" s="548"/>
      <c r="C446" s="549"/>
    </row>
    <row r="447" spans="2:3" ht="15" customHeight="1">
      <c r="B447" s="548"/>
      <c r="C447" s="549"/>
    </row>
    <row r="448" spans="2:3" ht="15" customHeight="1">
      <c r="B448" s="548"/>
      <c r="C448" s="549"/>
    </row>
    <row r="449" spans="2:3" ht="15" customHeight="1">
      <c r="B449" s="548"/>
      <c r="C449" s="549"/>
    </row>
    <row r="450" spans="2:3" ht="15" customHeight="1">
      <c r="B450" s="548"/>
      <c r="C450" s="549"/>
    </row>
    <row r="451" spans="2:3" ht="15" customHeight="1">
      <c r="B451" s="548"/>
      <c r="C451" s="549"/>
    </row>
    <row r="452" spans="2:3" ht="15" customHeight="1">
      <c r="B452" s="548"/>
      <c r="C452" s="549"/>
    </row>
    <row r="453" spans="2:3" ht="15" customHeight="1">
      <c r="B453" s="548"/>
      <c r="C453" s="549"/>
    </row>
    <row r="454" spans="2:3" ht="15" customHeight="1">
      <c r="B454" s="548"/>
      <c r="C454" s="549"/>
    </row>
    <row r="455" spans="2:3" ht="15" customHeight="1">
      <c r="B455" s="548"/>
      <c r="C455" s="549"/>
    </row>
    <row r="456" spans="2:3" ht="15" customHeight="1">
      <c r="B456" s="548"/>
      <c r="C456" s="549"/>
    </row>
    <row r="457" spans="2:3" ht="15" customHeight="1">
      <c r="B457" s="548"/>
      <c r="C457" s="549"/>
    </row>
    <row r="458" spans="2:3" ht="15" customHeight="1">
      <c r="B458" s="548"/>
      <c r="C458" s="549"/>
    </row>
    <row r="459" spans="2:3" ht="15" customHeight="1">
      <c r="B459" s="548"/>
      <c r="C459" s="549"/>
    </row>
    <row r="460" spans="2:3" ht="15" customHeight="1">
      <c r="B460" s="548"/>
      <c r="C460" s="549"/>
    </row>
    <row r="461" spans="2:3" ht="15" customHeight="1">
      <c r="B461" s="548"/>
      <c r="C461" s="549"/>
    </row>
    <row r="462" spans="2:3" ht="15" customHeight="1">
      <c r="B462" s="548"/>
      <c r="C462" s="549"/>
    </row>
    <row r="463" spans="2:3" ht="15" customHeight="1">
      <c r="B463" s="548"/>
      <c r="C463" s="549"/>
    </row>
    <row r="464" spans="2:3" ht="15" customHeight="1">
      <c r="B464" s="548"/>
      <c r="C464" s="549"/>
    </row>
    <row r="465" spans="2:3" ht="15" customHeight="1">
      <c r="B465" s="548"/>
      <c r="C465" s="549"/>
    </row>
    <row r="466" spans="2:3" ht="15" customHeight="1">
      <c r="B466" s="548"/>
      <c r="C466" s="549"/>
    </row>
    <row r="467" spans="2:3" ht="15" customHeight="1">
      <c r="B467" s="548"/>
      <c r="C467" s="549"/>
    </row>
    <row r="468" spans="2:3" ht="15" customHeight="1">
      <c r="B468" s="548"/>
      <c r="C468" s="549"/>
    </row>
    <row r="469" spans="2:3" ht="15" customHeight="1">
      <c r="B469" s="548"/>
      <c r="C469" s="549"/>
    </row>
    <row r="470" spans="2:3" ht="15" customHeight="1">
      <c r="B470" s="548"/>
      <c r="C470" s="549"/>
    </row>
    <row r="471" spans="2:3" ht="15" customHeight="1">
      <c r="B471" s="548"/>
      <c r="C471" s="549"/>
    </row>
    <row r="472" spans="2:3" ht="15" customHeight="1">
      <c r="B472" s="548"/>
      <c r="C472" s="549"/>
    </row>
    <row r="473" spans="2:3" ht="15" customHeight="1">
      <c r="B473" s="548"/>
      <c r="C473" s="549"/>
    </row>
    <row r="474" spans="2:3" ht="15" customHeight="1">
      <c r="B474" s="548"/>
      <c r="C474" s="549"/>
    </row>
    <row r="475" spans="2:3" ht="15" customHeight="1">
      <c r="B475" s="548"/>
      <c r="C475" s="549"/>
    </row>
    <row r="476" spans="2:3" ht="15" customHeight="1">
      <c r="B476" s="548"/>
      <c r="C476" s="549"/>
    </row>
    <row r="477" spans="2:3" ht="15" customHeight="1">
      <c r="B477" s="548"/>
      <c r="C477" s="549"/>
    </row>
    <row r="478" spans="2:3" ht="15" customHeight="1">
      <c r="B478" s="548"/>
      <c r="C478" s="549"/>
    </row>
    <row r="479" spans="2:3" ht="15" customHeight="1">
      <c r="B479" s="548"/>
      <c r="C479" s="549"/>
    </row>
    <row r="480" spans="2:3" ht="15" customHeight="1">
      <c r="B480" s="548"/>
      <c r="C480" s="549"/>
    </row>
    <row r="481" spans="2:3" ht="15" customHeight="1">
      <c r="B481" s="548"/>
      <c r="C481" s="549"/>
    </row>
    <row r="482" spans="2:3" ht="15" customHeight="1">
      <c r="B482" s="548"/>
      <c r="C482" s="549"/>
    </row>
    <row r="483" spans="2:3" ht="15" customHeight="1">
      <c r="B483" s="548"/>
      <c r="C483" s="549"/>
    </row>
    <row r="484" spans="2:3" ht="15" customHeight="1">
      <c r="B484" s="548"/>
      <c r="C484" s="549"/>
    </row>
    <row r="485" spans="2:3" ht="15" customHeight="1">
      <c r="B485" s="548"/>
      <c r="C485" s="549"/>
    </row>
    <row r="486" spans="2:3" ht="15" customHeight="1">
      <c r="B486" s="548"/>
      <c r="C486" s="549"/>
    </row>
    <row r="487" spans="2:3" ht="15" customHeight="1">
      <c r="B487" s="548"/>
      <c r="C487" s="549"/>
    </row>
    <row r="488" spans="2:3" ht="15" customHeight="1">
      <c r="B488" s="548"/>
      <c r="C488" s="549"/>
    </row>
    <row r="489" spans="2:3" ht="15" customHeight="1">
      <c r="B489" s="548"/>
      <c r="C489" s="549"/>
    </row>
    <row r="490" spans="2:3" ht="15" customHeight="1">
      <c r="B490" s="548"/>
      <c r="C490" s="549"/>
    </row>
    <row r="491" spans="2:3" ht="15" customHeight="1">
      <c r="B491" s="548"/>
      <c r="C491" s="549"/>
    </row>
    <row r="492" spans="2:3" ht="15" customHeight="1">
      <c r="B492" s="548"/>
      <c r="C492" s="549"/>
    </row>
    <row r="493" spans="2:3" ht="15" customHeight="1">
      <c r="B493" s="548"/>
      <c r="C493" s="549"/>
    </row>
    <row r="494" spans="2:3" ht="15" customHeight="1">
      <c r="B494" s="548"/>
      <c r="C494" s="549"/>
    </row>
    <row r="495" spans="2:3" ht="15" customHeight="1">
      <c r="B495" s="548"/>
      <c r="C495" s="549"/>
    </row>
    <row r="496" spans="2:3" ht="15" customHeight="1">
      <c r="B496" s="548"/>
      <c r="C496" s="549"/>
    </row>
    <row r="497" spans="2:3" ht="15" customHeight="1">
      <c r="B497" s="548"/>
      <c r="C497" s="549"/>
    </row>
    <row r="498" spans="2:3" ht="15" customHeight="1">
      <c r="B498" s="548"/>
      <c r="C498" s="549"/>
    </row>
    <row r="499" spans="2:3" ht="15" customHeight="1">
      <c r="B499" s="548"/>
      <c r="C499" s="549"/>
    </row>
    <row r="500" spans="2:3" ht="15" customHeight="1">
      <c r="B500" s="548"/>
      <c r="C500" s="549"/>
    </row>
    <row r="501" spans="2:3" ht="15" customHeight="1">
      <c r="B501" s="548"/>
      <c r="C501" s="549"/>
    </row>
    <row r="502" spans="2:3" ht="15" customHeight="1">
      <c r="B502" s="548"/>
      <c r="C502" s="549"/>
    </row>
    <row r="503" spans="2:3" ht="15" customHeight="1">
      <c r="B503" s="548"/>
      <c r="C503" s="549"/>
    </row>
    <row r="504" spans="2:3" ht="15" customHeight="1">
      <c r="B504" s="548"/>
      <c r="C504" s="549"/>
    </row>
    <row r="505" spans="2:3" ht="15" customHeight="1">
      <c r="B505" s="548"/>
      <c r="C505" s="549"/>
    </row>
    <row r="506" spans="2:3" ht="15" customHeight="1">
      <c r="B506" s="548"/>
      <c r="C506" s="549"/>
    </row>
    <row r="507" spans="2:3" ht="15" customHeight="1">
      <c r="B507" s="548"/>
      <c r="C507" s="549"/>
    </row>
    <row r="508" spans="2:3" ht="15" customHeight="1">
      <c r="B508" s="548"/>
      <c r="C508" s="549"/>
    </row>
    <row r="509" spans="2:3" ht="15" customHeight="1">
      <c r="B509" s="548"/>
      <c r="C509" s="549"/>
    </row>
    <row r="510" spans="2:3" ht="15" customHeight="1">
      <c r="B510" s="548"/>
      <c r="C510" s="549"/>
    </row>
    <row r="511" spans="2:3" ht="15" customHeight="1">
      <c r="B511" s="548"/>
      <c r="C511" s="549"/>
    </row>
    <row r="512" spans="2:3" ht="15" customHeight="1">
      <c r="B512" s="548"/>
      <c r="C512" s="549"/>
    </row>
    <row r="513" spans="2:3" ht="15" customHeight="1">
      <c r="B513" s="548"/>
      <c r="C513" s="549"/>
    </row>
    <row r="514" spans="2:3" ht="15" customHeight="1">
      <c r="B514" s="548"/>
      <c r="C514" s="549"/>
    </row>
    <row r="515" spans="2:3" ht="15" customHeight="1">
      <c r="B515" s="548"/>
      <c r="C515" s="549"/>
    </row>
    <row r="516" spans="2:3" ht="15" customHeight="1">
      <c r="B516" s="548"/>
      <c r="C516" s="549"/>
    </row>
    <row r="517" spans="2:3" ht="15" customHeight="1">
      <c r="B517" s="548"/>
      <c r="C517" s="549"/>
    </row>
    <row r="518" spans="2:3" ht="15" customHeight="1">
      <c r="B518" s="548"/>
      <c r="C518" s="549"/>
    </row>
    <row r="519" spans="2:3" ht="15" customHeight="1">
      <c r="B519" s="548"/>
      <c r="C519" s="549"/>
    </row>
    <row r="520" spans="2:3" ht="15" customHeight="1">
      <c r="B520" s="548"/>
      <c r="C520" s="549"/>
    </row>
    <row r="521" spans="2:3" ht="15" customHeight="1">
      <c r="B521" s="548"/>
      <c r="C521" s="549"/>
    </row>
    <row r="522" spans="2:3" ht="15" customHeight="1">
      <c r="B522" s="548"/>
      <c r="C522" s="549"/>
    </row>
    <row r="523" spans="2:3" ht="15" customHeight="1">
      <c r="B523" s="548"/>
      <c r="C523" s="549"/>
    </row>
    <row r="524" spans="2:3" ht="15" customHeight="1">
      <c r="B524" s="548"/>
      <c r="C524" s="549"/>
    </row>
    <row r="525" spans="2:3" ht="15" customHeight="1">
      <c r="B525" s="548"/>
      <c r="C525" s="549"/>
    </row>
    <row r="526" spans="2:3" ht="15" customHeight="1">
      <c r="B526" s="548"/>
      <c r="C526" s="549"/>
    </row>
    <row r="527" spans="2:3" ht="15" customHeight="1">
      <c r="B527" s="548"/>
      <c r="C527" s="549"/>
    </row>
    <row r="528" spans="2:3" ht="15" customHeight="1">
      <c r="B528" s="548"/>
      <c r="C528" s="549"/>
    </row>
    <row r="529" spans="2:3" ht="15" customHeight="1">
      <c r="B529" s="548"/>
      <c r="C529" s="549"/>
    </row>
    <row r="530" spans="2:3" ht="15" customHeight="1">
      <c r="B530" s="548"/>
      <c r="C530" s="549"/>
    </row>
    <row r="531" spans="2:3" ht="15" customHeight="1">
      <c r="B531" s="548"/>
      <c r="C531" s="549"/>
    </row>
    <row r="532" spans="2:3" ht="15" customHeight="1">
      <c r="B532" s="548"/>
      <c r="C532" s="549"/>
    </row>
    <row r="533" spans="2:3" ht="15" customHeight="1">
      <c r="B533" s="548"/>
      <c r="C533" s="549"/>
    </row>
    <row r="534" spans="2:3" ht="15" customHeight="1">
      <c r="B534" s="548"/>
      <c r="C534" s="549"/>
    </row>
    <row r="535" spans="2:3" ht="15" customHeight="1">
      <c r="B535" s="548"/>
      <c r="C535" s="549"/>
    </row>
    <row r="536" spans="2:3" ht="15" customHeight="1">
      <c r="B536" s="548"/>
      <c r="C536" s="549"/>
    </row>
    <row r="537" spans="2:3" ht="15" customHeight="1">
      <c r="B537" s="548"/>
      <c r="C537" s="549"/>
    </row>
    <row r="538" spans="2:3" ht="15" customHeight="1">
      <c r="B538" s="548"/>
      <c r="C538" s="549"/>
    </row>
    <row r="539" spans="2:3" ht="15" customHeight="1">
      <c r="B539" s="548"/>
      <c r="C539" s="549"/>
    </row>
    <row r="540" spans="2:3" ht="15" customHeight="1">
      <c r="B540" s="548"/>
      <c r="C540" s="549"/>
    </row>
    <row r="541" spans="2:3" ht="15" customHeight="1">
      <c r="B541" s="548"/>
      <c r="C541" s="549"/>
    </row>
    <row r="542" spans="2:3" ht="15" customHeight="1">
      <c r="B542" s="548"/>
      <c r="C542" s="549"/>
    </row>
    <row r="543" spans="2:3" ht="15" customHeight="1">
      <c r="B543" s="548"/>
      <c r="C543" s="549"/>
    </row>
    <row r="544" spans="2:3" ht="15" customHeight="1">
      <c r="B544" s="548"/>
      <c r="C544" s="549"/>
    </row>
    <row r="545" spans="2:3" ht="15" customHeight="1">
      <c r="B545" s="548"/>
      <c r="C545" s="549"/>
    </row>
    <row r="546" spans="2:3" ht="15" customHeight="1">
      <c r="B546" s="548"/>
      <c r="C546" s="549"/>
    </row>
    <row r="547" spans="2:3" ht="15" customHeight="1">
      <c r="B547" s="548"/>
      <c r="C547" s="549"/>
    </row>
    <row r="548" spans="2:3" ht="15" customHeight="1">
      <c r="B548" s="548"/>
      <c r="C548" s="549"/>
    </row>
    <row r="549" spans="2:3" ht="15" customHeight="1">
      <c r="B549" s="548"/>
      <c r="C549" s="549"/>
    </row>
    <row r="550" spans="2:3" ht="15" customHeight="1">
      <c r="B550" s="548"/>
      <c r="C550" s="549"/>
    </row>
    <row r="551" spans="2:3" ht="15" customHeight="1">
      <c r="B551" s="548"/>
      <c r="C551" s="549"/>
    </row>
    <row r="552" spans="2:3" ht="15" customHeight="1">
      <c r="B552" s="548"/>
      <c r="C552" s="549"/>
    </row>
    <row r="553" spans="2:3" ht="15" customHeight="1">
      <c r="B553" s="548"/>
      <c r="C553" s="549"/>
    </row>
    <row r="554" spans="2:3" ht="15" customHeight="1">
      <c r="B554" s="548"/>
      <c r="C554" s="549"/>
    </row>
    <row r="555" spans="2:3" ht="15" customHeight="1">
      <c r="B555" s="548"/>
      <c r="C555" s="549"/>
    </row>
    <row r="556" spans="2:3" ht="15" customHeight="1">
      <c r="B556" s="548"/>
      <c r="C556" s="549"/>
    </row>
    <row r="557" spans="2:3" ht="15" customHeight="1">
      <c r="B557" s="548"/>
      <c r="C557" s="549"/>
    </row>
    <row r="558" spans="2:3" ht="15" customHeight="1">
      <c r="B558" s="548"/>
      <c r="C558" s="549"/>
    </row>
    <row r="559" spans="2:3" ht="15" customHeight="1">
      <c r="B559" s="548"/>
      <c r="C559" s="549"/>
    </row>
    <row r="560" spans="2:3" ht="15" customHeight="1">
      <c r="B560" s="548"/>
      <c r="C560" s="549"/>
    </row>
    <row r="561" spans="2:3" ht="15" customHeight="1">
      <c r="B561" s="548"/>
      <c r="C561" s="549"/>
    </row>
    <row r="562" spans="2:3" ht="15" customHeight="1">
      <c r="B562" s="548"/>
      <c r="C562" s="549"/>
    </row>
    <row r="563" spans="2:3" ht="15" customHeight="1">
      <c r="B563" s="548"/>
      <c r="C563" s="549"/>
    </row>
    <row r="564" spans="2:3" ht="15" customHeight="1">
      <c r="B564" s="548"/>
      <c r="C564" s="549"/>
    </row>
    <row r="565" spans="2:3" ht="15" customHeight="1">
      <c r="B565" s="548"/>
      <c r="C565" s="549"/>
    </row>
    <row r="566" spans="2:3" ht="15" customHeight="1">
      <c r="B566" s="548"/>
      <c r="C566" s="549"/>
    </row>
    <row r="567" spans="2:3" ht="15" customHeight="1">
      <c r="B567" s="548"/>
      <c r="C567" s="549"/>
    </row>
    <row r="568" spans="2:3" ht="15" customHeight="1">
      <c r="B568" s="548"/>
      <c r="C568" s="549"/>
    </row>
    <row r="569" spans="2:3" ht="15" customHeight="1">
      <c r="B569" s="548"/>
      <c r="C569" s="549"/>
    </row>
    <row r="570" spans="2:3" ht="15" customHeight="1">
      <c r="B570" s="548"/>
      <c r="C570" s="549"/>
    </row>
    <row r="571" spans="2:3" ht="15" customHeight="1">
      <c r="B571" s="548"/>
      <c r="C571" s="549"/>
    </row>
    <row r="572" spans="2:3" ht="15" customHeight="1">
      <c r="B572" s="548"/>
      <c r="C572" s="549"/>
    </row>
    <row r="573" spans="2:3" ht="15" customHeight="1">
      <c r="B573" s="548"/>
      <c r="C573" s="549"/>
    </row>
    <row r="574" spans="2:3" ht="15" customHeight="1">
      <c r="B574" s="548"/>
      <c r="C574" s="549"/>
    </row>
    <row r="575" spans="2:3" ht="15" customHeight="1">
      <c r="B575" s="548"/>
      <c r="C575" s="549"/>
    </row>
    <row r="576" spans="2:3" ht="15" customHeight="1">
      <c r="B576" s="548"/>
      <c r="C576" s="549"/>
    </row>
    <row r="577" spans="2:3" ht="15" customHeight="1">
      <c r="B577" s="548"/>
      <c r="C577" s="549"/>
    </row>
    <row r="578" spans="2:3" ht="15" customHeight="1">
      <c r="B578" s="548"/>
      <c r="C578" s="549"/>
    </row>
    <row r="579" spans="2:3" ht="15" customHeight="1">
      <c r="B579" s="548"/>
      <c r="C579" s="549"/>
    </row>
    <row r="580" spans="2:3" ht="15" customHeight="1">
      <c r="B580" s="548"/>
      <c r="C580" s="549"/>
    </row>
    <row r="581" spans="2:3" ht="15" customHeight="1">
      <c r="B581" s="548"/>
      <c r="C581" s="549"/>
    </row>
    <row r="582" spans="2:3" ht="15" customHeight="1">
      <c r="B582" s="548"/>
      <c r="C582" s="549"/>
    </row>
    <row r="583" spans="2:3" ht="15" customHeight="1">
      <c r="B583" s="548"/>
      <c r="C583" s="549"/>
    </row>
    <row r="584" spans="2:3" ht="15" customHeight="1">
      <c r="B584" s="548"/>
      <c r="C584" s="549"/>
    </row>
    <row r="585" spans="2:3" ht="15" customHeight="1">
      <c r="B585" s="548"/>
      <c r="C585" s="549"/>
    </row>
    <row r="586" spans="2:3" ht="15" customHeight="1">
      <c r="B586" s="548"/>
      <c r="C586" s="549"/>
    </row>
    <row r="587" spans="2:3" ht="15" customHeight="1">
      <c r="B587" s="548"/>
      <c r="C587" s="549"/>
    </row>
    <row r="588" spans="2:3" ht="15" customHeight="1">
      <c r="B588" s="548"/>
      <c r="C588" s="549"/>
    </row>
    <row r="589" spans="2:3" ht="15" customHeight="1">
      <c r="B589" s="548"/>
      <c r="C589" s="549"/>
    </row>
    <row r="590" spans="2:3" ht="15" customHeight="1">
      <c r="B590" s="548"/>
      <c r="C590" s="549"/>
    </row>
    <row r="591" spans="2:3" ht="15" customHeight="1">
      <c r="B591" s="548"/>
      <c r="C591" s="549"/>
    </row>
    <row r="592" spans="2:3" ht="15" customHeight="1">
      <c r="B592" s="548"/>
      <c r="C592" s="549"/>
    </row>
    <row r="593" spans="2:3" ht="15" customHeight="1">
      <c r="B593" s="548"/>
      <c r="C593" s="549"/>
    </row>
    <row r="594" spans="2:3" ht="15" customHeight="1">
      <c r="B594" s="548"/>
      <c r="C594" s="549"/>
    </row>
    <row r="595" spans="2:3" ht="15" customHeight="1">
      <c r="B595" s="548"/>
      <c r="C595" s="549"/>
    </row>
    <row r="596" spans="2:3" ht="15" customHeight="1">
      <c r="B596" s="548"/>
      <c r="C596" s="549"/>
    </row>
    <row r="597" spans="2:3" ht="15" customHeight="1">
      <c r="B597" s="548"/>
      <c r="C597" s="549"/>
    </row>
    <row r="598" spans="2:3" ht="15" customHeight="1">
      <c r="B598" s="548"/>
      <c r="C598" s="549"/>
    </row>
    <row r="599" spans="2:3" ht="15" customHeight="1">
      <c r="B599" s="548"/>
      <c r="C599" s="549"/>
    </row>
    <row r="600" spans="2:3" ht="15" customHeight="1">
      <c r="B600" s="548"/>
      <c r="C600" s="549"/>
    </row>
    <row r="601" spans="2:3" ht="15" customHeight="1">
      <c r="B601" s="548"/>
      <c r="C601" s="549"/>
    </row>
    <row r="602" spans="2:3" ht="15" customHeight="1">
      <c r="B602" s="548"/>
      <c r="C602" s="549"/>
    </row>
    <row r="603" spans="2:3" ht="15" customHeight="1">
      <c r="B603" s="548"/>
      <c r="C603" s="549"/>
    </row>
    <row r="604" spans="2:3" ht="15" customHeight="1">
      <c r="B604" s="548"/>
      <c r="C604" s="549"/>
    </row>
    <row r="605" spans="2:3" ht="15" customHeight="1">
      <c r="B605" s="548"/>
      <c r="C605" s="549"/>
    </row>
    <row r="606" spans="2:3" ht="15" customHeight="1">
      <c r="B606" s="548"/>
      <c r="C606" s="549"/>
    </row>
    <row r="607" spans="2:3" ht="15" customHeight="1">
      <c r="B607" s="548"/>
      <c r="C607" s="549"/>
    </row>
    <row r="608" spans="2:3" ht="15" customHeight="1">
      <c r="B608" s="548"/>
      <c r="C608" s="549"/>
    </row>
    <row r="609" spans="2:3" ht="15" customHeight="1">
      <c r="B609" s="548"/>
      <c r="C609" s="549"/>
    </row>
    <row r="610" spans="2:3" ht="15" customHeight="1">
      <c r="B610" s="548"/>
      <c r="C610" s="549"/>
    </row>
    <row r="611" spans="2:3" ht="15" customHeight="1">
      <c r="B611" s="548"/>
      <c r="C611" s="549"/>
    </row>
    <row r="612" spans="2:3" ht="15" customHeight="1">
      <c r="B612" s="548"/>
      <c r="C612" s="549"/>
    </row>
    <row r="613" spans="2:3" ht="15" customHeight="1">
      <c r="B613" s="548"/>
      <c r="C613" s="549"/>
    </row>
    <row r="614" spans="2:3" ht="15" customHeight="1">
      <c r="B614" s="548"/>
      <c r="C614" s="549"/>
    </row>
    <row r="615" spans="2:3" ht="15" customHeight="1">
      <c r="B615" s="548"/>
      <c r="C615" s="549"/>
    </row>
    <row r="616" spans="2:3" ht="15" customHeight="1">
      <c r="B616" s="548"/>
      <c r="C616" s="549"/>
    </row>
    <row r="617" spans="2:3" ht="15" customHeight="1">
      <c r="B617" s="548"/>
      <c r="C617" s="549"/>
    </row>
    <row r="618" spans="2:3" ht="15" customHeight="1">
      <c r="B618" s="548"/>
      <c r="C618" s="549"/>
    </row>
    <row r="619" spans="2:3" ht="15" customHeight="1">
      <c r="B619" s="548"/>
      <c r="C619" s="549"/>
    </row>
    <row r="620" spans="2:3" ht="15" customHeight="1">
      <c r="B620" s="548"/>
      <c r="C620" s="549"/>
    </row>
    <row r="621" spans="2:3" ht="15" customHeight="1">
      <c r="B621" s="548"/>
      <c r="C621" s="549"/>
    </row>
    <row r="622" spans="2:3" ht="15" customHeight="1">
      <c r="B622" s="548"/>
      <c r="C622" s="549"/>
    </row>
    <row r="623" spans="2:3" ht="15" customHeight="1">
      <c r="B623" s="548"/>
      <c r="C623" s="549"/>
    </row>
    <row r="624" spans="2:3" ht="15" customHeight="1">
      <c r="B624" s="548"/>
      <c r="C624" s="549"/>
    </row>
    <row r="625" spans="2:3" ht="15" customHeight="1">
      <c r="B625" s="548"/>
      <c r="C625" s="549"/>
    </row>
    <row r="626" spans="2:3" ht="15" customHeight="1">
      <c r="B626" s="548"/>
      <c r="C626" s="549"/>
    </row>
    <row r="627" spans="2:3" ht="15" customHeight="1">
      <c r="B627" s="548"/>
      <c r="C627" s="549"/>
    </row>
    <row r="628" spans="2:3" ht="15" customHeight="1">
      <c r="B628" s="548"/>
      <c r="C628" s="549"/>
    </row>
    <row r="629" spans="2:3" ht="15" customHeight="1">
      <c r="B629" s="548"/>
      <c r="C629" s="549"/>
    </row>
    <row r="630" spans="2:3" ht="15" customHeight="1">
      <c r="B630" s="548"/>
      <c r="C630" s="549"/>
    </row>
    <row r="631" spans="2:3" ht="15" customHeight="1">
      <c r="B631" s="548"/>
      <c r="C631" s="549"/>
    </row>
    <row r="632" spans="2:3" ht="15" customHeight="1">
      <c r="B632" s="548"/>
      <c r="C632" s="549"/>
    </row>
    <row r="633" spans="2:3" ht="15" customHeight="1">
      <c r="B633" s="548"/>
      <c r="C633" s="549"/>
    </row>
    <row r="634" spans="2:3" ht="15" customHeight="1">
      <c r="B634" s="548"/>
      <c r="C634" s="549"/>
    </row>
    <row r="635" spans="2:3" ht="15" customHeight="1">
      <c r="B635" s="548"/>
      <c r="C635" s="549"/>
    </row>
    <row r="636" spans="2:3" ht="15" customHeight="1">
      <c r="B636" s="548"/>
      <c r="C636" s="549"/>
    </row>
    <row r="637" spans="2:3" ht="15" customHeight="1">
      <c r="B637" s="548"/>
      <c r="C637" s="549"/>
    </row>
    <row r="638" spans="2:3" ht="15" customHeight="1">
      <c r="B638" s="548"/>
      <c r="C638" s="549"/>
    </row>
    <row r="639" spans="2:3" ht="15" customHeight="1">
      <c r="B639" s="548"/>
      <c r="C639" s="549"/>
    </row>
    <row r="640" spans="2:3" ht="15" customHeight="1">
      <c r="B640" s="548"/>
      <c r="C640" s="549"/>
    </row>
    <row r="641" spans="2:3" ht="15" customHeight="1">
      <c r="B641" s="548"/>
      <c r="C641" s="549"/>
    </row>
    <row r="642" spans="2:3" ht="15" customHeight="1">
      <c r="B642" s="548"/>
      <c r="C642" s="549"/>
    </row>
    <row r="643" spans="2:3" ht="15" customHeight="1">
      <c r="B643" s="548"/>
      <c r="C643" s="549"/>
    </row>
    <row r="644" spans="2:3" ht="15" customHeight="1">
      <c r="B644" s="548"/>
      <c r="C644" s="549"/>
    </row>
    <row r="645" spans="2:3" ht="15" customHeight="1">
      <c r="B645" s="548"/>
      <c r="C645" s="549"/>
    </row>
    <row r="646" spans="2:3" ht="15" customHeight="1">
      <c r="B646" s="548"/>
      <c r="C646" s="549"/>
    </row>
    <row r="647" spans="2:3" ht="15" customHeight="1">
      <c r="B647" s="548"/>
      <c r="C647" s="549"/>
    </row>
    <row r="648" spans="2:3" ht="15" customHeight="1">
      <c r="B648" s="548"/>
      <c r="C648" s="549"/>
    </row>
    <row r="649" spans="2:3" ht="15" customHeight="1">
      <c r="B649" s="548"/>
      <c r="C649" s="549"/>
    </row>
    <row r="650" spans="2:3" ht="15" customHeight="1">
      <c r="B650" s="548"/>
      <c r="C650" s="549"/>
    </row>
    <row r="651" spans="2:3" ht="15" customHeight="1">
      <c r="B651" s="548"/>
      <c r="C651" s="549"/>
    </row>
    <row r="652" spans="2:3" ht="15" customHeight="1">
      <c r="B652" s="548"/>
      <c r="C652" s="549"/>
    </row>
    <row r="653" spans="2:3" ht="15" customHeight="1">
      <c r="B653" s="548"/>
      <c r="C653" s="549"/>
    </row>
    <row r="654" spans="2:3" ht="15" customHeight="1">
      <c r="B654" s="548"/>
      <c r="C654" s="549"/>
    </row>
    <row r="655" spans="2:3" ht="15" customHeight="1">
      <c r="B655" s="548"/>
      <c r="C655" s="549"/>
    </row>
    <row r="656" spans="2:3" ht="15" customHeight="1">
      <c r="B656" s="548"/>
      <c r="C656" s="549"/>
    </row>
    <row r="657" spans="2:3" ht="15" customHeight="1">
      <c r="B657" s="548"/>
      <c r="C657" s="549"/>
    </row>
    <row r="658" spans="2:3" ht="15" customHeight="1">
      <c r="B658" s="548"/>
      <c r="C658" s="549"/>
    </row>
    <row r="659" spans="2:3" ht="15" customHeight="1">
      <c r="B659" s="548"/>
      <c r="C659" s="549"/>
    </row>
    <row r="660" spans="2:3" ht="15" customHeight="1">
      <c r="B660" s="548"/>
      <c r="C660" s="549"/>
    </row>
    <row r="661" spans="2:3" ht="15" customHeight="1">
      <c r="B661" s="548"/>
      <c r="C661" s="549"/>
    </row>
    <row r="662" spans="2:3" ht="15" customHeight="1">
      <c r="B662" s="548"/>
      <c r="C662" s="549"/>
    </row>
    <row r="663" spans="2:3" ht="15" customHeight="1">
      <c r="B663" s="548"/>
      <c r="C663" s="549"/>
    </row>
    <row r="664" spans="2:3" ht="15" customHeight="1">
      <c r="B664" s="548"/>
      <c r="C664" s="549"/>
    </row>
    <row r="665" spans="2:3" ht="15" customHeight="1">
      <c r="B665" s="548"/>
      <c r="C665" s="549"/>
    </row>
    <row r="666" spans="2:3" ht="15" customHeight="1">
      <c r="B666" s="548"/>
      <c r="C666" s="549"/>
    </row>
    <row r="667" spans="2:3" ht="15" customHeight="1">
      <c r="B667" s="548"/>
      <c r="C667" s="549"/>
    </row>
    <row r="668" spans="2:3" ht="15" customHeight="1">
      <c r="B668" s="548"/>
      <c r="C668" s="549"/>
    </row>
    <row r="669" spans="2:3" ht="15" customHeight="1">
      <c r="B669" s="548"/>
      <c r="C669" s="549"/>
    </row>
    <row r="670" spans="2:3" ht="15" customHeight="1">
      <c r="B670" s="548"/>
      <c r="C670" s="549"/>
    </row>
    <row r="671" spans="2:3" ht="15" customHeight="1">
      <c r="B671" s="548"/>
      <c r="C671" s="549"/>
    </row>
    <row r="672" spans="2:3" ht="15" customHeight="1">
      <c r="B672" s="548"/>
      <c r="C672" s="549"/>
    </row>
    <row r="673" spans="2:3" ht="15" customHeight="1">
      <c r="B673" s="548"/>
      <c r="C673" s="549"/>
    </row>
    <row r="674" spans="2:3" ht="15" customHeight="1">
      <c r="B674" s="548"/>
      <c r="C674" s="549"/>
    </row>
    <row r="675" spans="2:3" ht="15" customHeight="1">
      <c r="B675" s="548"/>
      <c r="C675" s="549"/>
    </row>
    <row r="676" spans="2:3" ht="15" customHeight="1">
      <c r="B676" s="548"/>
      <c r="C676" s="549"/>
    </row>
    <row r="677" spans="2:3" ht="15" customHeight="1">
      <c r="B677" s="548"/>
      <c r="C677" s="549"/>
    </row>
    <row r="678" spans="2:3" ht="15" customHeight="1">
      <c r="B678" s="548"/>
      <c r="C678" s="549"/>
    </row>
    <row r="679" spans="2:3" ht="15" customHeight="1">
      <c r="B679" s="548"/>
      <c r="C679" s="549"/>
    </row>
    <row r="680" spans="2:3" ht="15" customHeight="1">
      <c r="B680" s="548"/>
      <c r="C680" s="549"/>
    </row>
    <row r="681" spans="2:3" ht="15" customHeight="1">
      <c r="B681" s="548"/>
      <c r="C681" s="549"/>
    </row>
    <row r="682" spans="2:3" ht="15" customHeight="1">
      <c r="B682" s="548"/>
      <c r="C682" s="549"/>
    </row>
    <row r="683" spans="2:3" ht="15" customHeight="1">
      <c r="B683" s="548"/>
      <c r="C683" s="549"/>
    </row>
    <row r="684" spans="2:3" ht="15" customHeight="1">
      <c r="B684" s="548"/>
      <c r="C684" s="549"/>
    </row>
    <row r="685" spans="2:3" ht="15" customHeight="1">
      <c r="B685" s="548"/>
      <c r="C685" s="549"/>
    </row>
    <row r="686" spans="2:3" ht="15" customHeight="1">
      <c r="B686" s="548"/>
      <c r="C686" s="549"/>
    </row>
    <row r="687" spans="2:3" ht="15" customHeight="1">
      <c r="B687" s="548"/>
      <c r="C687" s="549"/>
    </row>
    <row r="688" spans="2:3" ht="15" customHeight="1">
      <c r="B688" s="548"/>
      <c r="C688" s="549"/>
    </row>
    <row r="689" spans="2:3" ht="15" customHeight="1">
      <c r="B689" s="548"/>
      <c r="C689" s="549"/>
    </row>
    <row r="690" spans="2:3" ht="15" customHeight="1">
      <c r="B690" s="548"/>
      <c r="C690" s="549"/>
    </row>
    <row r="691" spans="2:3" ht="15" customHeight="1">
      <c r="B691" s="548"/>
      <c r="C691" s="549"/>
    </row>
    <row r="692" spans="2:3" ht="15" customHeight="1">
      <c r="B692" s="548"/>
      <c r="C692" s="549"/>
    </row>
    <row r="693" spans="2:3" ht="15" customHeight="1">
      <c r="B693" s="548"/>
      <c r="C693" s="549"/>
    </row>
    <row r="694" spans="2:3" ht="15" customHeight="1">
      <c r="B694" s="548"/>
      <c r="C694" s="549"/>
    </row>
    <row r="695" spans="2:3" ht="15" customHeight="1">
      <c r="B695" s="548"/>
      <c r="C695" s="549"/>
    </row>
    <row r="696" spans="2:3" ht="15" customHeight="1">
      <c r="B696" s="548"/>
      <c r="C696" s="549"/>
    </row>
    <row r="697" spans="2:3" ht="15" customHeight="1">
      <c r="B697" s="548"/>
      <c r="C697" s="549"/>
    </row>
    <row r="698" spans="2:3" ht="15" customHeight="1">
      <c r="B698" s="548"/>
      <c r="C698" s="549"/>
    </row>
    <row r="699" spans="2:3" ht="15" customHeight="1">
      <c r="B699" s="548"/>
      <c r="C699" s="549"/>
    </row>
    <row r="700" spans="2:3" ht="15" customHeight="1">
      <c r="B700" s="548"/>
      <c r="C700" s="549"/>
    </row>
    <row r="701" spans="2:3" ht="15" customHeight="1">
      <c r="B701" s="548"/>
      <c r="C701" s="549"/>
    </row>
    <row r="702" spans="2:3" ht="15" customHeight="1">
      <c r="B702" s="548"/>
      <c r="C702" s="549"/>
    </row>
    <row r="703" spans="2:3" ht="15" customHeight="1">
      <c r="B703" s="548"/>
      <c r="C703" s="549"/>
    </row>
    <row r="704" spans="2:3" ht="15" customHeight="1">
      <c r="B704" s="548"/>
      <c r="C704" s="549"/>
    </row>
    <row r="705" spans="2:3" ht="15" customHeight="1">
      <c r="B705" s="548"/>
      <c r="C705" s="549"/>
    </row>
    <row r="706" spans="2:3" ht="15" customHeight="1">
      <c r="B706" s="548"/>
      <c r="C706" s="549"/>
    </row>
    <row r="707" spans="2:3" ht="15" customHeight="1">
      <c r="B707" s="548"/>
      <c r="C707" s="549"/>
    </row>
    <row r="708" spans="2:3" ht="15" customHeight="1">
      <c r="B708" s="548"/>
      <c r="C708" s="549"/>
    </row>
    <row r="709" spans="2:3" ht="15" customHeight="1">
      <c r="B709" s="548"/>
      <c r="C709" s="549"/>
    </row>
    <row r="710" spans="2:3" ht="15" customHeight="1">
      <c r="B710" s="548"/>
      <c r="C710" s="549"/>
    </row>
    <row r="711" spans="2:3" ht="15" customHeight="1">
      <c r="B711" s="548"/>
      <c r="C711" s="549"/>
    </row>
    <row r="712" spans="2:3" ht="15" customHeight="1">
      <c r="B712" s="548"/>
      <c r="C712" s="549"/>
    </row>
    <row r="713" spans="2:3" ht="15" customHeight="1">
      <c r="B713" s="548"/>
      <c r="C713" s="549"/>
    </row>
    <row r="714" spans="2:3" ht="15" customHeight="1">
      <c r="B714" s="548"/>
      <c r="C714" s="549"/>
    </row>
    <row r="715" spans="2:3" ht="15" customHeight="1">
      <c r="B715" s="548"/>
      <c r="C715" s="549"/>
    </row>
    <row r="716" spans="2:3" ht="15" customHeight="1">
      <c r="B716" s="548"/>
      <c r="C716" s="549"/>
    </row>
    <row r="717" spans="2:3" ht="15" customHeight="1">
      <c r="B717" s="548"/>
      <c r="C717" s="549"/>
    </row>
    <row r="718" spans="2:3" ht="15" customHeight="1">
      <c r="B718" s="548"/>
      <c r="C718" s="549"/>
    </row>
    <row r="719" spans="2:3" ht="15" customHeight="1">
      <c r="B719" s="548"/>
      <c r="C719" s="549"/>
    </row>
    <row r="720" spans="2:3" ht="15" customHeight="1">
      <c r="B720" s="548"/>
      <c r="C720" s="549"/>
    </row>
    <row r="721" spans="2:3" ht="15" customHeight="1">
      <c r="B721" s="548"/>
      <c r="C721" s="549"/>
    </row>
    <row r="722" spans="2:3" ht="15" customHeight="1">
      <c r="B722" s="548"/>
      <c r="C722" s="549"/>
    </row>
    <row r="723" spans="2:3" ht="15" customHeight="1">
      <c r="B723" s="548"/>
      <c r="C723" s="549"/>
    </row>
    <row r="724" spans="2:3" ht="15" customHeight="1">
      <c r="B724" s="548"/>
      <c r="C724" s="549"/>
    </row>
    <row r="725" spans="2:3" ht="15" customHeight="1">
      <c r="B725" s="548"/>
      <c r="C725" s="549"/>
    </row>
    <row r="726" spans="2:3" ht="15" customHeight="1">
      <c r="B726" s="548"/>
      <c r="C726" s="549"/>
    </row>
    <row r="727" spans="2:3" ht="15" customHeight="1">
      <c r="B727" s="548"/>
      <c r="C727" s="549"/>
    </row>
    <row r="728" spans="2:3" ht="15" customHeight="1">
      <c r="B728" s="548"/>
      <c r="C728" s="549"/>
    </row>
    <row r="729" spans="2:3" ht="15" customHeight="1">
      <c r="B729" s="548"/>
      <c r="C729" s="549"/>
    </row>
    <row r="730" spans="2:3" ht="15" customHeight="1">
      <c r="B730" s="548"/>
      <c r="C730" s="549"/>
    </row>
    <row r="731" spans="2:3" ht="15" customHeight="1">
      <c r="B731" s="548"/>
      <c r="C731" s="549"/>
    </row>
    <row r="732" spans="2:3" ht="15" customHeight="1">
      <c r="B732" s="548"/>
      <c r="C732" s="549"/>
    </row>
    <row r="733" spans="2:3" ht="15" customHeight="1">
      <c r="B733" s="548"/>
      <c r="C733" s="549"/>
    </row>
    <row r="734" spans="2:3" ht="15" customHeight="1">
      <c r="B734" s="548"/>
      <c r="C734" s="549"/>
    </row>
    <row r="735" spans="2:3" ht="15" customHeight="1">
      <c r="B735" s="548"/>
      <c r="C735" s="549"/>
    </row>
    <row r="736" spans="2:3" ht="15" customHeight="1">
      <c r="B736" s="548"/>
      <c r="C736" s="549"/>
    </row>
    <row r="737" spans="2:3" ht="15" customHeight="1">
      <c r="B737" s="548"/>
      <c r="C737" s="549"/>
    </row>
    <row r="738" spans="2:3" ht="15" customHeight="1">
      <c r="B738" s="548"/>
      <c r="C738" s="549"/>
    </row>
    <row r="739" spans="2:3" ht="15" customHeight="1">
      <c r="B739" s="548"/>
      <c r="C739" s="549"/>
    </row>
    <row r="740" spans="2:3" ht="15" customHeight="1">
      <c r="B740" s="548"/>
      <c r="C740" s="549"/>
    </row>
    <row r="741" spans="2:3" ht="15" customHeight="1">
      <c r="B741" s="548"/>
      <c r="C741" s="549"/>
    </row>
    <row r="742" spans="2:3" ht="15" customHeight="1">
      <c r="B742" s="548"/>
      <c r="C742" s="549"/>
    </row>
    <row r="743" spans="2:3" ht="15" customHeight="1">
      <c r="B743" s="548"/>
      <c r="C743" s="549"/>
    </row>
    <row r="744" spans="2:3" ht="15" customHeight="1">
      <c r="B744" s="548"/>
      <c r="C744" s="549"/>
    </row>
    <row r="745" spans="2:3" ht="15" customHeight="1">
      <c r="B745" s="548"/>
      <c r="C745" s="549"/>
    </row>
    <row r="746" spans="2:3" ht="15" customHeight="1">
      <c r="B746" s="548"/>
      <c r="C746" s="549"/>
    </row>
    <row r="747" spans="2:3" ht="15" customHeight="1">
      <c r="B747" s="548"/>
      <c r="C747" s="549"/>
    </row>
    <row r="748" spans="2:3" ht="15" customHeight="1">
      <c r="B748" s="548"/>
      <c r="C748" s="549"/>
    </row>
    <row r="749" spans="2:3" ht="15" customHeight="1">
      <c r="B749" s="548"/>
      <c r="C749" s="549"/>
    </row>
    <row r="750" spans="2:3" ht="15" customHeight="1">
      <c r="B750" s="548"/>
      <c r="C750" s="549"/>
    </row>
    <row r="751" spans="2:3" ht="15" customHeight="1">
      <c r="B751" s="548"/>
      <c r="C751" s="549"/>
    </row>
    <row r="752" spans="2:3" ht="15" customHeight="1">
      <c r="B752" s="548"/>
      <c r="C752" s="549"/>
    </row>
    <row r="753" spans="2:3" ht="15" customHeight="1">
      <c r="B753" s="548"/>
      <c r="C753" s="549"/>
    </row>
    <row r="754" spans="2:3" ht="15" customHeight="1">
      <c r="B754" s="548"/>
      <c r="C754" s="549"/>
    </row>
    <row r="755" spans="2:3" ht="15" customHeight="1">
      <c r="B755" s="548"/>
      <c r="C755" s="549"/>
    </row>
    <row r="756" spans="2:3" ht="15" customHeight="1">
      <c r="B756" s="548"/>
      <c r="C756" s="549"/>
    </row>
    <row r="757" spans="2:3" ht="15" customHeight="1">
      <c r="B757" s="548"/>
      <c r="C757" s="549"/>
    </row>
    <row r="758" spans="2:3" ht="15" customHeight="1">
      <c r="B758" s="548"/>
      <c r="C758" s="549"/>
    </row>
    <row r="759" spans="2:3" ht="15" customHeight="1">
      <c r="B759" s="548"/>
      <c r="C759" s="549"/>
    </row>
    <row r="760" spans="2:3" ht="15" customHeight="1">
      <c r="B760" s="548"/>
      <c r="C760" s="549"/>
    </row>
    <row r="761" spans="2:3" ht="15" customHeight="1">
      <c r="B761" s="548"/>
      <c r="C761" s="549"/>
    </row>
    <row r="762" spans="2:3" ht="15" customHeight="1">
      <c r="B762" s="548"/>
      <c r="C762" s="549"/>
    </row>
    <row r="763" spans="2:3" ht="15" customHeight="1">
      <c r="B763" s="548"/>
      <c r="C763" s="549"/>
    </row>
    <row r="764" spans="2:3" ht="15" customHeight="1">
      <c r="B764" s="548"/>
      <c r="C764" s="549"/>
    </row>
    <row r="765" spans="2:3" ht="15" customHeight="1">
      <c r="B765" s="548"/>
      <c r="C765" s="549"/>
    </row>
    <row r="766" spans="2:3" ht="15" customHeight="1">
      <c r="B766" s="548"/>
      <c r="C766" s="549"/>
    </row>
    <row r="767" spans="2:3" ht="15" customHeight="1">
      <c r="B767" s="548"/>
      <c r="C767" s="549"/>
    </row>
    <row r="768" spans="2:3" ht="15" customHeight="1">
      <c r="B768" s="548"/>
      <c r="C768" s="549"/>
    </row>
    <row r="769" spans="2:3" ht="15" customHeight="1">
      <c r="B769" s="548"/>
      <c r="C769" s="549"/>
    </row>
    <row r="770" spans="2:3" ht="15" customHeight="1">
      <c r="B770" s="548"/>
      <c r="C770" s="549"/>
    </row>
    <row r="771" spans="2:3" ht="15" customHeight="1">
      <c r="B771" s="548"/>
      <c r="C771" s="549"/>
    </row>
    <row r="772" spans="2:3" ht="15" customHeight="1">
      <c r="B772" s="548"/>
      <c r="C772" s="549"/>
    </row>
    <row r="773" spans="2:3" ht="15" customHeight="1">
      <c r="B773" s="548"/>
      <c r="C773" s="549"/>
    </row>
    <row r="774" spans="2:3" ht="15" customHeight="1">
      <c r="B774" s="548"/>
      <c r="C774" s="549"/>
    </row>
    <row r="775" spans="2:3" ht="15" customHeight="1">
      <c r="B775" s="548"/>
      <c r="C775" s="549"/>
    </row>
    <row r="776" spans="2:3" ht="15" customHeight="1">
      <c r="B776" s="548"/>
      <c r="C776" s="549"/>
    </row>
    <row r="777" spans="2:3" ht="15" customHeight="1">
      <c r="B777" s="548"/>
      <c r="C777" s="549"/>
    </row>
    <row r="778" spans="2:3" ht="15" customHeight="1">
      <c r="B778" s="548"/>
      <c r="C778" s="549"/>
    </row>
    <row r="779" spans="2:3" ht="15" customHeight="1">
      <c r="B779" s="548"/>
      <c r="C779" s="549"/>
    </row>
    <row r="780" spans="2:3" ht="15" customHeight="1">
      <c r="B780" s="548"/>
      <c r="C780" s="549"/>
    </row>
    <row r="781" spans="2:3" ht="15" customHeight="1">
      <c r="B781" s="548"/>
      <c r="C781" s="549"/>
    </row>
    <row r="782" spans="2:3" ht="15" customHeight="1">
      <c r="B782" s="548"/>
      <c r="C782" s="549"/>
    </row>
    <row r="783" spans="2:3" ht="15" customHeight="1">
      <c r="B783" s="548"/>
      <c r="C783" s="549"/>
    </row>
    <row r="784" spans="2:3" ht="15" customHeight="1">
      <c r="B784" s="548"/>
      <c r="C784" s="549"/>
    </row>
    <row r="785" spans="2:3" ht="15" customHeight="1">
      <c r="B785" s="548"/>
      <c r="C785" s="549"/>
    </row>
    <row r="786" spans="2:3" ht="15" customHeight="1">
      <c r="B786" s="548"/>
      <c r="C786" s="549"/>
    </row>
    <row r="787" spans="2:3" ht="15" customHeight="1">
      <c r="B787" s="548"/>
      <c r="C787" s="549"/>
    </row>
    <row r="788" spans="2:3" ht="15" customHeight="1">
      <c r="B788" s="548"/>
      <c r="C788" s="549"/>
    </row>
    <row r="789" spans="2:3" ht="15" customHeight="1">
      <c r="B789" s="548"/>
      <c r="C789" s="549"/>
    </row>
    <row r="790" spans="2:3" ht="15" customHeight="1">
      <c r="B790" s="548"/>
      <c r="C790" s="549"/>
    </row>
    <row r="791" spans="2:3" ht="15" customHeight="1">
      <c r="B791" s="548"/>
      <c r="C791" s="549"/>
    </row>
    <row r="792" spans="2:3" ht="15" customHeight="1">
      <c r="B792" s="548"/>
      <c r="C792" s="549"/>
    </row>
    <row r="793" spans="2:3" ht="15" customHeight="1">
      <c r="B793" s="548"/>
      <c r="C793" s="549"/>
    </row>
    <row r="794" spans="2:3" ht="15" customHeight="1">
      <c r="B794" s="548"/>
      <c r="C794" s="549"/>
    </row>
    <row r="795" spans="2:3" ht="15" customHeight="1">
      <c r="B795" s="548"/>
      <c r="C795" s="549"/>
    </row>
    <row r="796" spans="2:3" ht="15" customHeight="1">
      <c r="B796" s="548"/>
      <c r="C796" s="549"/>
    </row>
    <row r="797" spans="2:3" ht="15" customHeight="1">
      <c r="B797" s="548"/>
      <c r="C797" s="549"/>
    </row>
    <row r="798" spans="2:3" ht="15" customHeight="1">
      <c r="B798" s="548"/>
      <c r="C798" s="549"/>
    </row>
    <row r="799" spans="2:3" ht="15" customHeight="1">
      <c r="B799" s="548"/>
      <c r="C799" s="549"/>
    </row>
    <row r="800" spans="2:3" ht="15" customHeight="1">
      <c r="B800" s="548"/>
      <c r="C800" s="549"/>
    </row>
    <row r="801" spans="2:3" ht="15" customHeight="1">
      <c r="B801" s="548"/>
      <c r="C801" s="549"/>
    </row>
    <row r="802" spans="2:3" ht="15" customHeight="1">
      <c r="B802" s="548"/>
      <c r="C802" s="549"/>
    </row>
    <row r="803" spans="2:3" ht="15" customHeight="1">
      <c r="B803" s="548"/>
      <c r="C803" s="549"/>
    </row>
    <row r="804" spans="2:3" ht="15" customHeight="1">
      <c r="B804" s="548"/>
      <c r="C804" s="549"/>
    </row>
    <row r="805" spans="2:3" ht="15" customHeight="1">
      <c r="B805" s="548"/>
      <c r="C805" s="549"/>
    </row>
    <row r="806" spans="2:3" ht="15" customHeight="1">
      <c r="B806" s="548"/>
      <c r="C806" s="549"/>
    </row>
    <row r="807" spans="2:3" ht="15" customHeight="1">
      <c r="B807" s="548"/>
      <c r="C807" s="549"/>
    </row>
    <row r="808" spans="2:3" ht="15" customHeight="1">
      <c r="B808" s="548"/>
      <c r="C808" s="549"/>
    </row>
    <row r="809" spans="2:3" ht="15" customHeight="1">
      <c r="B809" s="548"/>
      <c r="C809" s="549"/>
    </row>
    <row r="810" spans="2:3" ht="15" customHeight="1">
      <c r="B810" s="548"/>
      <c r="C810" s="549"/>
    </row>
    <row r="811" spans="2:3" ht="15" customHeight="1">
      <c r="B811" s="548"/>
      <c r="C811" s="549"/>
    </row>
    <row r="812" spans="2:3" ht="15" customHeight="1">
      <c r="B812" s="548"/>
      <c r="C812" s="549"/>
    </row>
    <row r="813" spans="2:3" ht="15" customHeight="1">
      <c r="B813" s="548"/>
      <c r="C813" s="549"/>
    </row>
    <row r="814" spans="2:3" ht="15" customHeight="1">
      <c r="B814" s="548"/>
      <c r="C814" s="549"/>
    </row>
    <row r="815" spans="2:3" ht="15" customHeight="1">
      <c r="B815" s="548"/>
      <c r="C815" s="549"/>
    </row>
    <row r="816" spans="2:3" ht="15" customHeight="1">
      <c r="B816" s="548"/>
      <c r="C816" s="549"/>
    </row>
    <row r="817" spans="2:3" ht="15" customHeight="1">
      <c r="B817" s="548"/>
      <c r="C817" s="549"/>
    </row>
    <row r="818" spans="2:3" ht="15" customHeight="1">
      <c r="B818" s="548"/>
      <c r="C818" s="549"/>
    </row>
    <row r="819" spans="2:3" ht="15" customHeight="1">
      <c r="B819" s="548"/>
      <c r="C819" s="549"/>
    </row>
    <row r="820" spans="2:3" ht="15" customHeight="1">
      <c r="B820" s="548"/>
      <c r="C820" s="549"/>
    </row>
    <row r="821" spans="2:3" ht="15" customHeight="1">
      <c r="B821" s="548"/>
      <c r="C821" s="549"/>
    </row>
    <row r="822" spans="2:3" ht="15" customHeight="1">
      <c r="B822" s="548"/>
      <c r="C822" s="549"/>
    </row>
    <row r="823" spans="2:3" ht="15" customHeight="1">
      <c r="B823" s="548"/>
      <c r="C823" s="549"/>
    </row>
    <row r="824" spans="2:3" ht="15" customHeight="1">
      <c r="B824" s="548"/>
      <c r="C824" s="549"/>
    </row>
    <row r="825" spans="2:3" ht="15" customHeight="1">
      <c r="B825" s="548"/>
      <c r="C825" s="549"/>
    </row>
    <row r="826" spans="2:3" ht="15" customHeight="1">
      <c r="B826" s="548"/>
      <c r="C826" s="549"/>
    </row>
    <row r="827" spans="2:3" ht="15" customHeight="1">
      <c r="B827" s="548"/>
      <c r="C827" s="549"/>
    </row>
    <row r="828" spans="2:3" ht="15" customHeight="1">
      <c r="B828" s="548"/>
      <c r="C828" s="549"/>
    </row>
    <row r="829" spans="2:3" ht="15" customHeight="1">
      <c r="B829" s="548"/>
      <c r="C829" s="549"/>
    </row>
    <row r="830" spans="2:3" ht="15" customHeight="1">
      <c r="B830" s="548"/>
      <c r="C830" s="549"/>
    </row>
    <row r="831" spans="2:3" ht="15" customHeight="1">
      <c r="B831" s="548"/>
      <c r="C831" s="549"/>
    </row>
    <row r="832" spans="2:3" ht="15" customHeight="1">
      <c r="B832" s="548"/>
      <c r="C832" s="549"/>
    </row>
    <row r="833" spans="2:3" ht="15" customHeight="1">
      <c r="B833" s="548"/>
      <c r="C833" s="549"/>
    </row>
    <row r="834" spans="2:3" ht="15" customHeight="1">
      <c r="B834" s="548"/>
      <c r="C834" s="549"/>
    </row>
    <row r="835" spans="2:3" ht="15" customHeight="1">
      <c r="B835" s="548"/>
      <c r="C835" s="549"/>
    </row>
    <row r="836" spans="2:3" ht="15" customHeight="1">
      <c r="B836" s="548"/>
      <c r="C836" s="549"/>
    </row>
    <row r="837" spans="2:3" ht="15" customHeight="1">
      <c r="B837" s="548"/>
      <c r="C837" s="549"/>
    </row>
    <row r="838" spans="2:3" ht="15" customHeight="1">
      <c r="B838" s="548"/>
      <c r="C838" s="549"/>
    </row>
    <row r="839" spans="2:3" ht="15" customHeight="1">
      <c r="B839" s="548"/>
      <c r="C839" s="549"/>
    </row>
    <row r="840" spans="2:3" ht="15" customHeight="1">
      <c r="B840" s="548"/>
      <c r="C840" s="549"/>
    </row>
    <row r="841" spans="2:3" ht="15" customHeight="1">
      <c r="B841" s="548"/>
      <c r="C841" s="549"/>
    </row>
    <row r="842" spans="2:3" ht="15" customHeight="1">
      <c r="B842" s="548"/>
      <c r="C842" s="549"/>
    </row>
    <row r="843" spans="2:3" ht="15" customHeight="1">
      <c r="B843" s="548"/>
      <c r="C843" s="549"/>
    </row>
    <row r="844" spans="2:3" ht="15" customHeight="1">
      <c r="B844" s="548"/>
      <c r="C844" s="549"/>
    </row>
    <row r="845" spans="2:3" ht="15" customHeight="1">
      <c r="B845" s="548"/>
      <c r="C845" s="549"/>
    </row>
    <row r="846" spans="2:3" ht="15" customHeight="1">
      <c r="B846" s="548"/>
      <c r="C846" s="549"/>
    </row>
    <row r="847" spans="2:3" ht="15" customHeight="1">
      <c r="B847" s="548"/>
      <c r="C847" s="549"/>
    </row>
    <row r="848" spans="2:3" ht="15" customHeight="1">
      <c r="B848" s="548"/>
      <c r="C848" s="549"/>
    </row>
    <row r="849" spans="2:3" ht="15" customHeight="1">
      <c r="B849" s="548"/>
      <c r="C849" s="549"/>
    </row>
    <row r="850" spans="2:3" ht="15" customHeight="1">
      <c r="B850" s="548"/>
      <c r="C850" s="549"/>
    </row>
    <row r="851" spans="2:3" ht="15" customHeight="1">
      <c r="B851" s="548"/>
      <c r="C851" s="549"/>
    </row>
    <row r="852" spans="2:3" ht="15" customHeight="1">
      <c r="B852" s="548"/>
      <c r="C852" s="549"/>
    </row>
    <row r="853" spans="2:3" ht="15" customHeight="1">
      <c r="B853" s="548"/>
      <c r="C853" s="549"/>
    </row>
    <row r="854" spans="2:3" ht="15" customHeight="1">
      <c r="B854" s="548"/>
      <c r="C854" s="549"/>
    </row>
    <row r="855" spans="2:3" ht="15" customHeight="1">
      <c r="B855" s="548"/>
      <c r="C855" s="549"/>
    </row>
    <row r="856" spans="2:3" ht="15" customHeight="1">
      <c r="B856" s="548"/>
      <c r="C856" s="549"/>
    </row>
    <row r="857" spans="2:3" ht="15" customHeight="1">
      <c r="B857" s="548"/>
      <c r="C857" s="549"/>
    </row>
    <row r="858" spans="2:3" ht="15" customHeight="1">
      <c r="B858" s="548"/>
      <c r="C858" s="549"/>
    </row>
    <row r="859" spans="2:3" ht="15" customHeight="1">
      <c r="B859" s="548"/>
      <c r="C859" s="549"/>
    </row>
    <row r="860" spans="2:3" ht="15" customHeight="1">
      <c r="B860" s="548"/>
      <c r="C860" s="549"/>
    </row>
    <row r="861" spans="2:3" ht="15" customHeight="1">
      <c r="B861" s="548"/>
      <c r="C861" s="549"/>
    </row>
    <row r="862" spans="2:3" ht="15" customHeight="1">
      <c r="B862" s="548"/>
      <c r="C862" s="549"/>
    </row>
    <row r="863" spans="2:3" ht="15" customHeight="1">
      <c r="B863" s="548"/>
      <c r="C863" s="549"/>
    </row>
    <row r="864" spans="2:3" ht="15" customHeight="1">
      <c r="B864" s="548"/>
      <c r="C864" s="549"/>
    </row>
    <row r="865" spans="2:3" ht="15" customHeight="1">
      <c r="B865" s="548"/>
      <c r="C865" s="549"/>
    </row>
    <row r="866" spans="2:3" ht="15" customHeight="1">
      <c r="B866" s="548"/>
      <c r="C866" s="549"/>
    </row>
    <row r="867" spans="2:3" ht="15" customHeight="1">
      <c r="B867" s="548"/>
      <c r="C867" s="549"/>
    </row>
    <row r="868" spans="2:3" ht="15" customHeight="1">
      <c r="B868" s="548"/>
      <c r="C868" s="549"/>
    </row>
    <row r="869" spans="2:3" ht="15" customHeight="1">
      <c r="B869" s="548"/>
      <c r="C869" s="549"/>
    </row>
    <row r="870" spans="2:3" ht="15" customHeight="1">
      <c r="B870" s="548"/>
      <c r="C870" s="549"/>
    </row>
    <row r="871" spans="2:3" ht="15" customHeight="1">
      <c r="B871" s="548"/>
      <c r="C871" s="549"/>
    </row>
    <row r="872" spans="2:3" ht="15" customHeight="1">
      <c r="B872" s="548"/>
      <c r="C872" s="549"/>
    </row>
    <row r="873" spans="2:3" ht="15" customHeight="1">
      <c r="B873" s="548"/>
      <c r="C873" s="549"/>
    </row>
    <row r="874" spans="2:3" ht="15" customHeight="1">
      <c r="B874" s="548"/>
      <c r="C874" s="549"/>
    </row>
    <row r="875" spans="2:3" ht="15" customHeight="1">
      <c r="B875" s="548"/>
      <c r="C875" s="549"/>
    </row>
    <row r="876" spans="2:3" ht="15" customHeight="1">
      <c r="B876" s="548"/>
      <c r="C876" s="549"/>
    </row>
    <row r="877" spans="2:3" ht="15" customHeight="1">
      <c r="B877" s="548"/>
      <c r="C877" s="549"/>
    </row>
    <row r="878" spans="2:3" ht="15" customHeight="1">
      <c r="B878" s="548"/>
      <c r="C878" s="549"/>
    </row>
    <row r="879" spans="2:3" ht="15" customHeight="1">
      <c r="B879" s="548"/>
      <c r="C879" s="549"/>
    </row>
    <row r="880" spans="2:3" ht="15" customHeight="1">
      <c r="B880" s="548"/>
      <c r="C880" s="549"/>
    </row>
    <row r="881" spans="2:3" ht="15" customHeight="1">
      <c r="B881" s="548"/>
      <c r="C881" s="549"/>
    </row>
    <row r="882" spans="2:3" ht="15" customHeight="1">
      <c r="B882" s="548"/>
      <c r="C882" s="549"/>
    </row>
    <row r="883" spans="2:3" ht="15" customHeight="1">
      <c r="B883" s="548"/>
      <c r="C883" s="549"/>
    </row>
    <row r="884" spans="2:3" ht="15" customHeight="1">
      <c r="B884" s="548"/>
      <c r="C884" s="549"/>
    </row>
    <row r="885" spans="2:3" ht="15" customHeight="1">
      <c r="B885" s="548"/>
      <c r="C885" s="549"/>
    </row>
    <row r="886" spans="2:3" ht="15" customHeight="1">
      <c r="B886" s="548"/>
      <c r="C886" s="549"/>
    </row>
    <row r="887" spans="2:3" ht="15" customHeight="1">
      <c r="B887" s="548"/>
      <c r="C887" s="549"/>
    </row>
    <row r="888" spans="2:3" ht="15" customHeight="1">
      <c r="B888" s="548"/>
      <c r="C888" s="549"/>
    </row>
    <row r="889" spans="2:3" ht="15" customHeight="1">
      <c r="B889" s="548"/>
      <c r="C889" s="549"/>
    </row>
    <row r="890" spans="2:3" ht="15" customHeight="1">
      <c r="B890" s="548"/>
      <c r="C890" s="549"/>
    </row>
    <row r="891" spans="2:3" ht="15" customHeight="1">
      <c r="B891" s="548"/>
      <c r="C891" s="549"/>
    </row>
    <row r="892" spans="2:3" ht="15" customHeight="1">
      <c r="B892" s="548"/>
      <c r="C892" s="549"/>
    </row>
    <row r="893" spans="2:3" ht="15" customHeight="1">
      <c r="B893" s="548"/>
      <c r="C893" s="549"/>
    </row>
    <row r="894" spans="2:3" ht="15" customHeight="1">
      <c r="B894" s="548"/>
      <c r="C894" s="549"/>
    </row>
    <row r="895" spans="2:3" ht="15" customHeight="1">
      <c r="B895" s="548"/>
      <c r="C895" s="549"/>
    </row>
    <row r="896" spans="2:3" ht="15" customHeight="1">
      <c r="B896" s="548"/>
      <c r="C896" s="549"/>
    </row>
    <row r="897" spans="2:3" ht="15" customHeight="1">
      <c r="B897" s="548"/>
      <c r="C897" s="549"/>
    </row>
    <row r="898" spans="2:3" ht="15" customHeight="1">
      <c r="B898" s="548"/>
      <c r="C898" s="549"/>
    </row>
    <row r="899" spans="2:3" ht="15" customHeight="1">
      <c r="B899" s="548"/>
      <c r="C899" s="549"/>
    </row>
    <row r="900" spans="2:3" ht="15" customHeight="1">
      <c r="B900" s="548"/>
      <c r="C900" s="549"/>
    </row>
    <row r="901" spans="2:3" ht="15" customHeight="1">
      <c r="B901" s="548"/>
      <c r="C901" s="549"/>
    </row>
    <row r="902" spans="2:3" ht="15" customHeight="1">
      <c r="B902" s="548"/>
      <c r="C902" s="549"/>
    </row>
    <row r="903" spans="2:3" ht="15" customHeight="1">
      <c r="B903" s="548"/>
      <c r="C903" s="549"/>
    </row>
    <row r="904" spans="2:3" ht="15" customHeight="1">
      <c r="B904" s="548"/>
      <c r="C904" s="549"/>
    </row>
    <row r="905" spans="2:3" ht="15" customHeight="1">
      <c r="B905" s="548"/>
      <c r="C905" s="549"/>
    </row>
    <row r="906" spans="2:3" ht="15" customHeight="1">
      <c r="B906" s="548"/>
      <c r="C906" s="549"/>
    </row>
    <row r="907" spans="2:3" ht="15" customHeight="1">
      <c r="B907" s="548"/>
      <c r="C907" s="549"/>
    </row>
    <row r="908" spans="2:3" ht="15" customHeight="1">
      <c r="B908" s="548"/>
      <c r="C908" s="549"/>
    </row>
    <row r="909" spans="2:3" ht="15" customHeight="1">
      <c r="B909" s="548"/>
      <c r="C909" s="549"/>
    </row>
    <row r="910" spans="2:3" ht="15" customHeight="1">
      <c r="B910" s="548"/>
      <c r="C910" s="549"/>
    </row>
    <row r="911" spans="2:3" ht="15" customHeight="1">
      <c r="B911" s="548"/>
      <c r="C911" s="549"/>
    </row>
    <row r="912" spans="2:3" ht="15" customHeight="1">
      <c r="B912" s="548"/>
      <c r="C912" s="549"/>
    </row>
    <row r="913" spans="2:3" ht="15" customHeight="1">
      <c r="B913" s="548"/>
      <c r="C913" s="549"/>
    </row>
    <row r="914" spans="2:3" ht="15" customHeight="1">
      <c r="B914" s="548"/>
      <c r="C914" s="549"/>
    </row>
    <row r="915" spans="2:3" ht="15" customHeight="1">
      <c r="B915" s="548"/>
      <c r="C915" s="549"/>
    </row>
    <row r="916" spans="2:3" ht="15" customHeight="1">
      <c r="B916" s="548"/>
      <c r="C916" s="549"/>
    </row>
    <row r="917" spans="2:3" ht="15" customHeight="1">
      <c r="B917" s="548"/>
      <c r="C917" s="549"/>
    </row>
    <row r="918" spans="2:3" ht="15" customHeight="1">
      <c r="B918" s="548"/>
      <c r="C918" s="549"/>
    </row>
    <row r="919" spans="2:3" ht="15" customHeight="1">
      <c r="B919" s="548"/>
      <c r="C919" s="549"/>
    </row>
    <row r="920" spans="2:3" ht="15" customHeight="1">
      <c r="B920" s="548"/>
      <c r="C920" s="549"/>
    </row>
    <row r="921" spans="2:3" ht="15" customHeight="1">
      <c r="B921" s="548"/>
      <c r="C921" s="549"/>
    </row>
    <row r="922" spans="2:3" ht="15" customHeight="1">
      <c r="B922" s="548"/>
      <c r="C922" s="549"/>
    </row>
    <row r="923" spans="2:3" ht="15" customHeight="1">
      <c r="B923" s="548"/>
      <c r="C923" s="549"/>
    </row>
    <row r="924" spans="2:3" ht="15" customHeight="1">
      <c r="B924" s="548"/>
      <c r="C924" s="549"/>
    </row>
    <row r="925" spans="2:3" ht="15" customHeight="1">
      <c r="B925" s="548"/>
      <c r="C925" s="549"/>
    </row>
    <row r="926" spans="2:3" ht="15" customHeight="1">
      <c r="B926" s="548"/>
      <c r="C926" s="549"/>
    </row>
    <row r="927" spans="2:3" ht="15" customHeight="1">
      <c r="B927" s="548"/>
      <c r="C927" s="549"/>
    </row>
    <row r="928" spans="2:3" ht="15" customHeight="1">
      <c r="B928" s="548"/>
      <c r="C928" s="549"/>
    </row>
    <row r="929" spans="2:3" ht="15" customHeight="1">
      <c r="B929" s="548"/>
      <c r="C929" s="549"/>
    </row>
    <row r="930" spans="2:3" ht="15" customHeight="1">
      <c r="B930" s="548"/>
      <c r="C930" s="549"/>
    </row>
    <row r="931" spans="2:3" ht="15" customHeight="1">
      <c r="B931" s="548"/>
      <c r="C931" s="549"/>
    </row>
    <row r="932" spans="2:3" ht="15" customHeight="1">
      <c r="B932" s="548"/>
      <c r="C932" s="549"/>
    </row>
    <row r="933" spans="2:3" ht="15" customHeight="1">
      <c r="B933" s="548"/>
      <c r="C933" s="549"/>
    </row>
    <row r="934" spans="2:3" ht="15" customHeight="1">
      <c r="B934" s="548"/>
      <c r="C934" s="549"/>
    </row>
    <row r="935" spans="2:3" ht="15" customHeight="1">
      <c r="B935" s="548"/>
      <c r="C935" s="549"/>
    </row>
    <row r="936" spans="2:3" ht="15" customHeight="1">
      <c r="B936" s="548"/>
      <c r="C936" s="549"/>
    </row>
    <row r="937" spans="2:3" ht="15" customHeight="1">
      <c r="B937" s="548"/>
      <c r="C937" s="549"/>
    </row>
    <row r="938" spans="2:3" ht="15" customHeight="1">
      <c r="B938" s="548"/>
      <c r="C938" s="549"/>
    </row>
    <row r="939" spans="2:3" ht="15" customHeight="1">
      <c r="B939" s="548"/>
      <c r="C939" s="549"/>
    </row>
    <row r="940" spans="2:3" ht="15" customHeight="1">
      <c r="B940" s="548"/>
      <c r="C940" s="549"/>
    </row>
    <row r="941" spans="2:3" ht="15" customHeight="1">
      <c r="B941" s="548"/>
      <c r="C941" s="549"/>
    </row>
    <row r="942" spans="2:3" ht="15" customHeight="1">
      <c r="B942" s="548"/>
      <c r="C942" s="549"/>
    </row>
    <row r="943" spans="2:3" ht="15" customHeight="1">
      <c r="B943" s="548"/>
      <c r="C943" s="549"/>
    </row>
    <row r="944" spans="2:3" ht="15" customHeight="1">
      <c r="B944" s="548"/>
      <c r="C944" s="549"/>
    </row>
    <row r="945" spans="2:3" ht="15" customHeight="1">
      <c r="B945" s="548"/>
      <c r="C945" s="549"/>
    </row>
    <row r="946" spans="2:3" ht="15" customHeight="1">
      <c r="B946" s="548"/>
      <c r="C946" s="549"/>
    </row>
    <row r="947" spans="2:3" ht="15" customHeight="1">
      <c r="B947" s="548"/>
      <c r="C947" s="549"/>
    </row>
    <row r="948" spans="2:3" ht="15" customHeight="1">
      <c r="B948" s="548"/>
      <c r="C948" s="549"/>
    </row>
    <row r="949" spans="2:3" ht="15" customHeight="1">
      <c r="B949" s="548"/>
      <c r="C949" s="549"/>
    </row>
    <row r="950" spans="2:3" ht="15" customHeight="1">
      <c r="B950" s="548"/>
      <c r="C950" s="549"/>
    </row>
    <row r="951" spans="2:3" ht="15" customHeight="1">
      <c r="B951" s="548"/>
      <c r="C951" s="549"/>
    </row>
    <row r="952" spans="2:3" ht="15" customHeight="1">
      <c r="B952" s="548"/>
      <c r="C952" s="549"/>
    </row>
    <row r="953" spans="2:3" ht="15" customHeight="1">
      <c r="B953" s="548"/>
      <c r="C953" s="549"/>
    </row>
    <row r="954" spans="2:3" ht="15" customHeight="1">
      <c r="B954" s="548"/>
      <c r="C954" s="549"/>
    </row>
    <row r="955" spans="2:3" ht="15" customHeight="1">
      <c r="B955" s="548"/>
      <c r="C955" s="549"/>
    </row>
    <row r="956" spans="2:3" ht="15" customHeight="1">
      <c r="B956" s="548"/>
      <c r="C956" s="549"/>
    </row>
    <row r="957" spans="2:3" ht="15" customHeight="1">
      <c r="B957" s="548"/>
      <c r="C957" s="549"/>
    </row>
    <row r="958" spans="2:3" ht="15" customHeight="1">
      <c r="B958" s="548"/>
      <c r="C958" s="549"/>
    </row>
    <row r="959" spans="2:3" ht="15" customHeight="1">
      <c r="B959" s="548"/>
      <c r="C959" s="549"/>
    </row>
    <row r="960" spans="2:3" ht="15" customHeight="1">
      <c r="B960" s="548"/>
      <c r="C960" s="549"/>
    </row>
    <row r="961" spans="2:3" ht="15" customHeight="1">
      <c r="B961" s="548"/>
      <c r="C961" s="549"/>
    </row>
    <row r="962" spans="2:3" ht="15" customHeight="1">
      <c r="B962" s="548"/>
      <c r="C962" s="549"/>
    </row>
    <row r="963" spans="2:3" ht="15" customHeight="1">
      <c r="B963" s="548"/>
      <c r="C963" s="549"/>
    </row>
    <row r="964" spans="2:3" ht="15" customHeight="1">
      <c r="B964" s="548"/>
      <c r="C964" s="549"/>
    </row>
    <row r="965" spans="2:3" ht="15" customHeight="1">
      <c r="B965" s="548"/>
      <c r="C965" s="549"/>
    </row>
    <row r="966" spans="2:3" ht="15" customHeight="1">
      <c r="B966" s="548"/>
      <c r="C966" s="549"/>
    </row>
    <row r="967" spans="2:3" ht="15" customHeight="1">
      <c r="B967" s="548"/>
      <c r="C967" s="549"/>
    </row>
    <row r="968" spans="2:3" ht="15" customHeight="1">
      <c r="B968" s="548"/>
      <c r="C968" s="549"/>
    </row>
    <row r="969" spans="2:3" ht="15" customHeight="1">
      <c r="B969" s="548"/>
      <c r="C969" s="549"/>
    </row>
    <row r="970" spans="2:3" ht="15" customHeight="1">
      <c r="B970" s="548"/>
      <c r="C970" s="549"/>
    </row>
    <row r="971" spans="2:3" ht="15" customHeight="1">
      <c r="B971" s="548"/>
      <c r="C971" s="549"/>
    </row>
    <row r="972" spans="2:3" ht="15" customHeight="1">
      <c r="B972" s="548"/>
      <c r="C972" s="549"/>
    </row>
    <row r="973" spans="2:3" ht="15" customHeight="1">
      <c r="B973" s="548"/>
      <c r="C973" s="549"/>
    </row>
    <row r="974" spans="2:3" ht="15" customHeight="1">
      <c r="B974" s="548"/>
      <c r="C974" s="549"/>
    </row>
    <row r="975" spans="2:3" ht="15" customHeight="1">
      <c r="B975" s="548"/>
      <c r="C975" s="549"/>
    </row>
    <row r="976" spans="2:3" ht="15" customHeight="1">
      <c r="B976" s="548"/>
      <c r="C976" s="549"/>
    </row>
    <row r="977" spans="2:3" ht="15" customHeight="1">
      <c r="B977" s="548"/>
      <c r="C977" s="549"/>
    </row>
    <row r="978" spans="2:3" ht="15" customHeight="1">
      <c r="B978" s="548"/>
      <c r="C978" s="549"/>
    </row>
    <row r="979" spans="2:3" ht="15" customHeight="1">
      <c r="B979" s="548"/>
      <c r="C979" s="549"/>
    </row>
    <row r="980" spans="2:3" ht="15" customHeight="1">
      <c r="B980" s="548"/>
      <c r="C980" s="549"/>
    </row>
    <row r="981" spans="2:3" ht="15" customHeight="1">
      <c r="B981" s="548"/>
      <c r="C981" s="549"/>
    </row>
    <row r="982" spans="2:3" ht="15" customHeight="1">
      <c r="B982" s="548"/>
      <c r="C982" s="549"/>
    </row>
    <row r="983" spans="2:3" ht="15" customHeight="1">
      <c r="B983" s="548"/>
      <c r="C983" s="549"/>
    </row>
    <row r="984" spans="2:3" ht="15" customHeight="1">
      <c r="B984" s="548"/>
      <c r="C984" s="549"/>
    </row>
    <row r="985" spans="2:3" ht="15" customHeight="1">
      <c r="B985" s="548"/>
      <c r="C985" s="549"/>
    </row>
    <row r="986" spans="2:3" ht="15" customHeight="1">
      <c r="B986" s="548"/>
      <c r="C986" s="549"/>
    </row>
    <row r="987" spans="2:3" ht="15" customHeight="1">
      <c r="B987" s="548"/>
      <c r="C987" s="549"/>
    </row>
    <row r="988" spans="2:3" ht="15" customHeight="1">
      <c r="B988" s="548"/>
      <c r="C988" s="549"/>
    </row>
    <row r="989" spans="2:3" ht="15" customHeight="1">
      <c r="B989" s="548"/>
      <c r="C989" s="549"/>
    </row>
    <row r="990" spans="2:3" ht="15" customHeight="1">
      <c r="B990" s="548"/>
      <c r="C990" s="549"/>
    </row>
    <row r="991" spans="2:3" ht="15" customHeight="1">
      <c r="B991" s="548"/>
      <c r="C991" s="549"/>
    </row>
    <row r="992" spans="2:3" ht="15" customHeight="1">
      <c r="B992" s="548"/>
      <c r="C992" s="549"/>
    </row>
    <row r="993" spans="2:3" ht="15" customHeight="1">
      <c r="B993" s="548"/>
      <c r="C993" s="549"/>
    </row>
    <row r="994" spans="2:3" ht="15" customHeight="1">
      <c r="B994" s="548"/>
      <c r="C994" s="549"/>
    </row>
    <row r="995" spans="2:3" ht="15" customHeight="1">
      <c r="B995" s="548"/>
      <c r="C995" s="549"/>
    </row>
    <row r="996" spans="2:3" ht="15" customHeight="1">
      <c r="B996" s="548"/>
      <c r="C996" s="549"/>
    </row>
    <row r="997" spans="2:3" ht="15" customHeight="1">
      <c r="B997" s="548"/>
      <c r="C997" s="549"/>
    </row>
    <row r="998" spans="2:3" ht="15" customHeight="1">
      <c r="B998" s="548"/>
      <c r="C998" s="549"/>
    </row>
    <row r="999" spans="2:3" ht="15" customHeight="1">
      <c r="B999" s="548"/>
      <c r="C999" s="549"/>
    </row>
    <row r="1000" spans="2:3" ht="15" customHeight="1">
      <c r="B1000" s="548"/>
      <c r="C1000" s="549"/>
    </row>
    <row r="1001" spans="2:3" ht="15" customHeight="1">
      <c r="B1001" s="548"/>
      <c r="C1001" s="549"/>
    </row>
    <row r="1002" spans="2:3" ht="15" customHeight="1">
      <c r="B1002" s="548"/>
      <c r="C1002" s="549"/>
    </row>
    <row r="1003" spans="2:3" ht="15" customHeight="1">
      <c r="B1003" s="548"/>
      <c r="C1003" s="549"/>
    </row>
    <row r="1004" spans="2:3" ht="15" customHeight="1">
      <c r="B1004" s="548"/>
      <c r="C1004" s="549"/>
    </row>
    <row r="1005" spans="2:3" ht="15" customHeight="1">
      <c r="B1005" s="548"/>
      <c r="C1005" s="549"/>
    </row>
    <row r="1006" spans="2:3" ht="15" customHeight="1">
      <c r="B1006" s="548"/>
      <c r="C1006" s="549"/>
    </row>
    <row r="1007" spans="2:3" ht="15" customHeight="1">
      <c r="B1007" s="548"/>
      <c r="C1007" s="549"/>
    </row>
    <row r="1008" spans="2:3" ht="15" customHeight="1">
      <c r="B1008" s="548"/>
      <c r="C1008" s="549"/>
    </row>
    <row r="1009" spans="2:3" ht="15" customHeight="1">
      <c r="B1009" s="548"/>
      <c r="C1009" s="549"/>
    </row>
    <row r="1010" spans="2:3" ht="15" customHeight="1">
      <c r="B1010" s="548"/>
      <c r="C1010" s="549"/>
    </row>
    <row r="1011" spans="2:3" ht="15" customHeight="1">
      <c r="B1011" s="548"/>
      <c r="C1011" s="549"/>
    </row>
    <row r="1012" spans="2:3" ht="15" customHeight="1">
      <c r="B1012" s="548"/>
      <c r="C1012" s="549"/>
    </row>
    <row r="1013" spans="2:3" ht="15" customHeight="1">
      <c r="B1013" s="548"/>
      <c r="C1013" s="549"/>
    </row>
    <row r="1014" spans="2:3" ht="15" customHeight="1">
      <c r="B1014" s="548"/>
      <c r="C1014" s="549"/>
    </row>
    <row r="1015" spans="2:3" ht="15" customHeight="1">
      <c r="B1015" s="548"/>
      <c r="C1015" s="549"/>
    </row>
    <row r="1016" spans="2:3" ht="15" customHeight="1">
      <c r="B1016" s="548"/>
      <c r="C1016" s="549"/>
    </row>
    <row r="1017" spans="2:3" ht="15" customHeight="1">
      <c r="B1017" s="548"/>
      <c r="C1017" s="549"/>
    </row>
    <row r="1018" spans="2:3" ht="15" customHeight="1">
      <c r="B1018" s="548"/>
      <c r="C1018" s="549"/>
    </row>
    <row r="1019" spans="2:3" ht="15" customHeight="1">
      <c r="B1019" s="548"/>
      <c r="C1019" s="549"/>
    </row>
    <row r="1020" spans="2:3" ht="15" customHeight="1">
      <c r="B1020" s="548"/>
      <c r="C1020" s="549"/>
    </row>
    <row r="1021" spans="2:3" ht="15" customHeight="1">
      <c r="B1021" s="548"/>
      <c r="C1021" s="549"/>
    </row>
    <row r="1022" spans="2:3" ht="15" customHeight="1">
      <c r="B1022" s="548"/>
      <c r="C1022" s="549"/>
    </row>
    <row r="1023" spans="2:3" ht="15" customHeight="1">
      <c r="B1023" s="548"/>
      <c r="C1023" s="549"/>
    </row>
    <row r="1024" spans="2:3" ht="15" customHeight="1">
      <c r="B1024" s="548"/>
      <c r="C1024" s="549"/>
    </row>
    <row r="1025" spans="2:3" ht="15" customHeight="1">
      <c r="B1025" s="548"/>
      <c r="C1025" s="549"/>
    </row>
    <row r="1026" spans="2:3" ht="15" customHeight="1">
      <c r="B1026" s="548"/>
      <c r="C1026" s="549"/>
    </row>
    <row r="1027" spans="2:3" ht="15" customHeight="1">
      <c r="B1027" s="548"/>
      <c r="C1027" s="549"/>
    </row>
    <row r="1028" spans="2:3" ht="15" customHeight="1">
      <c r="B1028" s="548"/>
      <c r="C1028" s="549"/>
    </row>
    <row r="1029" spans="2:3" ht="15" customHeight="1">
      <c r="B1029" s="548"/>
      <c r="C1029" s="549"/>
    </row>
    <row r="1030" spans="2:3" ht="15" customHeight="1">
      <c r="B1030" s="548"/>
      <c r="C1030" s="549"/>
    </row>
    <row r="1031" spans="2:3" ht="15" customHeight="1">
      <c r="B1031" s="548"/>
      <c r="C1031" s="549"/>
    </row>
    <row r="1032" spans="2:3" ht="15" customHeight="1">
      <c r="B1032" s="548"/>
      <c r="C1032" s="549"/>
    </row>
    <row r="1033" spans="2:3" ht="15" customHeight="1">
      <c r="B1033" s="548"/>
      <c r="C1033" s="549"/>
    </row>
    <row r="1034" spans="2:3" ht="15" customHeight="1">
      <c r="B1034" s="548"/>
      <c r="C1034" s="549"/>
    </row>
    <row r="1035" spans="2:3" ht="15" customHeight="1">
      <c r="B1035" s="548"/>
      <c r="C1035" s="549"/>
    </row>
    <row r="1036" spans="2:3" ht="15" customHeight="1">
      <c r="B1036" s="548"/>
      <c r="C1036" s="549"/>
    </row>
    <row r="1037" spans="2:3" ht="15" customHeight="1">
      <c r="B1037" s="548"/>
      <c r="C1037" s="549"/>
    </row>
    <row r="1038" spans="2:3" ht="15" customHeight="1">
      <c r="B1038" s="548"/>
      <c r="C1038" s="549"/>
    </row>
    <row r="1039" spans="2:3" ht="15" customHeight="1">
      <c r="B1039" s="548"/>
      <c r="C1039" s="549"/>
    </row>
    <row r="1040" spans="2:3" ht="15" customHeight="1">
      <c r="B1040" s="548"/>
      <c r="C1040" s="549"/>
    </row>
    <row r="1041" spans="2:3" ht="15" customHeight="1">
      <c r="B1041" s="548"/>
      <c r="C1041" s="549"/>
    </row>
    <row r="1042" spans="2:3" ht="15" customHeight="1">
      <c r="B1042" s="548"/>
      <c r="C1042" s="549"/>
    </row>
    <row r="1043" spans="2:3" ht="15" customHeight="1">
      <c r="B1043" s="548"/>
      <c r="C1043" s="549"/>
    </row>
    <row r="1044" spans="2:3" ht="15" customHeight="1">
      <c r="B1044" s="548"/>
      <c r="C1044" s="549"/>
    </row>
    <row r="1045" spans="2:3" ht="15" customHeight="1">
      <c r="B1045" s="548"/>
      <c r="C1045" s="549"/>
    </row>
    <row r="1046" spans="2:3" ht="15" customHeight="1">
      <c r="B1046" s="548"/>
      <c r="C1046" s="549"/>
    </row>
    <row r="1047" spans="2:3" ht="15" customHeight="1">
      <c r="B1047" s="548"/>
      <c r="C1047" s="549"/>
    </row>
    <row r="1048" spans="2:3" ht="15" customHeight="1">
      <c r="B1048" s="548"/>
      <c r="C1048" s="549"/>
    </row>
    <row r="1049" spans="2:3" ht="15" customHeight="1">
      <c r="B1049" s="548"/>
      <c r="C1049" s="549"/>
    </row>
    <row r="1050" spans="2:3" ht="15" customHeight="1">
      <c r="B1050" s="548"/>
      <c r="C1050" s="549"/>
    </row>
    <row r="1051" spans="2:3" ht="15" customHeight="1">
      <c r="B1051" s="548"/>
      <c r="C1051" s="549"/>
    </row>
    <row r="1052" spans="2:3" ht="15" customHeight="1">
      <c r="B1052" s="548"/>
      <c r="C1052" s="549"/>
    </row>
    <row r="1053" spans="2:3" ht="15" customHeight="1">
      <c r="B1053" s="548"/>
      <c r="C1053" s="549"/>
    </row>
    <row r="1054" spans="2:3" ht="15" customHeight="1">
      <c r="B1054" s="548"/>
      <c r="C1054" s="549"/>
    </row>
    <row r="1055" spans="2:3" ht="15" customHeight="1">
      <c r="B1055" s="548"/>
      <c r="C1055" s="549"/>
    </row>
    <row r="1056" spans="2:3" ht="15" customHeight="1">
      <c r="B1056" s="548"/>
      <c r="C1056" s="549"/>
    </row>
    <row r="1057" spans="2:3" ht="15" customHeight="1">
      <c r="B1057" s="548"/>
      <c r="C1057" s="549"/>
    </row>
    <row r="1058" spans="2:3" ht="15" customHeight="1">
      <c r="B1058" s="548"/>
      <c r="C1058" s="549"/>
    </row>
    <row r="1059" spans="2:3" ht="15" customHeight="1">
      <c r="B1059" s="548"/>
      <c r="C1059" s="549"/>
    </row>
    <row r="1060" spans="2:3" ht="15" customHeight="1">
      <c r="B1060" s="548"/>
      <c r="C1060" s="549"/>
    </row>
    <row r="1061" spans="2:3" ht="15" customHeight="1">
      <c r="B1061" s="548"/>
      <c r="C1061" s="549"/>
    </row>
    <row r="1062" spans="2:3" ht="15" customHeight="1">
      <c r="B1062" s="548"/>
      <c r="C1062" s="549"/>
    </row>
    <row r="1063" spans="2:3" ht="15" customHeight="1">
      <c r="B1063" s="548"/>
      <c r="C1063" s="549"/>
    </row>
    <row r="1064" spans="2:3" ht="15" customHeight="1">
      <c r="B1064" s="548"/>
      <c r="C1064" s="549"/>
    </row>
    <row r="1065" spans="2:3" ht="15" customHeight="1">
      <c r="B1065" s="548"/>
      <c r="C1065" s="549"/>
    </row>
    <row r="1066" spans="2:3" ht="15" customHeight="1">
      <c r="B1066" s="548"/>
      <c r="C1066" s="549"/>
    </row>
    <row r="1067" spans="2:3" ht="15" customHeight="1">
      <c r="B1067" s="548"/>
      <c r="C1067" s="549"/>
    </row>
    <row r="1068" spans="2:3" ht="15" customHeight="1">
      <c r="B1068" s="548"/>
      <c r="C1068" s="549"/>
    </row>
    <row r="1069" spans="2:3" ht="15" customHeight="1">
      <c r="B1069" s="548"/>
      <c r="C1069" s="549"/>
    </row>
    <row r="1070" spans="2:3" ht="15" customHeight="1">
      <c r="B1070" s="548"/>
      <c r="C1070" s="549"/>
    </row>
    <row r="1071" spans="2:3" ht="15" customHeight="1">
      <c r="B1071" s="548"/>
      <c r="C1071" s="549"/>
    </row>
    <row r="1072" spans="2:3" ht="15" customHeight="1">
      <c r="B1072" s="548"/>
      <c r="C1072" s="549"/>
    </row>
    <row r="1073" spans="2:3" ht="15" customHeight="1">
      <c r="B1073" s="548"/>
      <c r="C1073" s="549"/>
    </row>
    <row r="1074" spans="2:3" ht="15" customHeight="1">
      <c r="B1074" s="548"/>
      <c r="C1074" s="549"/>
    </row>
    <row r="1075" spans="2:3" ht="15" customHeight="1">
      <c r="B1075" s="548"/>
      <c r="C1075" s="549"/>
    </row>
    <row r="1076" spans="2:3" ht="15" customHeight="1">
      <c r="B1076" s="548"/>
      <c r="C1076" s="549"/>
    </row>
    <row r="1077" spans="2:3" ht="15" customHeight="1">
      <c r="B1077" s="548"/>
      <c r="C1077" s="549"/>
    </row>
    <row r="1078" spans="2:3" ht="15" customHeight="1">
      <c r="B1078" s="548"/>
      <c r="C1078" s="549"/>
    </row>
    <row r="1079" spans="2:3" ht="15" customHeight="1">
      <c r="B1079" s="548"/>
      <c r="C1079" s="549"/>
    </row>
    <row r="1080" spans="2:3" ht="15" customHeight="1">
      <c r="B1080" s="548"/>
      <c r="C1080" s="549"/>
    </row>
    <row r="1081" spans="2:3" ht="15" customHeight="1">
      <c r="B1081" s="548"/>
      <c r="C1081" s="549"/>
    </row>
    <row r="1082" spans="2:3" ht="15" customHeight="1">
      <c r="B1082" s="548"/>
      <c r="C1082" s="549"/>
    </row>
    <row r="1083" spans="2:3" ht="15" customHeight="1">
      <c r="B1083" s="548"/>
      <c r="C1083" s="549"/>
    </row>
    <row r="1084" spans="2:3" ht="15" customHeight="1">
      <c r="B1084" s="548"/>
      <c r="C1084" s="549"/>
    </row>
    <row r="1085" spans="2:3" ht="15" customHeight="1">
      <c r="B1085" s="548"/>
      <c r="C1085" s="549"/>
    </row>
    <row r="1086" spans="2:3" ht="15" customHeight="1">
      <c r="B1086" s="548"/>
      <c r="C1086" s="549"/>
    </row>
    <row r="1087" spans="2:3" ht="15" customHeight="1">
      <c r="B1087" s="548"/>
      <c r="C1087" s="549"/>
    </row>
    <row r="1088" spans="2:3" ht="15" customHeight="1">
      <c r="B1088" s="548"/>
      <c r="C1088" s="549"/>
    </row>
    <row r="1089" spans="2:3" ht="15" customHeight="1">
      <c r="B1089" s="548"/>
      <c r="C1089" s="549"/>
    </row>
    <row r="1090" spans="2:3" ht="15" customHeight="1">
      <c r="B1090" s="548"/>
      <c r="C1090" s="549"/>
    </row>
    <row r="1091" spans="2:3" ht="15" customHeight="1">
      <c r="B1091" s="548"/>
      <c r="C1091" s="549"/>
    </row>
    <row r="1092" spans="2:3" ht="15" customHeight="1">
      <c r="B1092" s="548"/>
      <c r="C1092" s="549"/>
    </row>
    <row r="1093" spans="2:3" ht="15" customHeight="1">
      <c r="B1093" s="548"/>
      <c r="C1093" s="549"/>
    </row>
    <row r="1094" spans="2:3" ht="15" customHeight="1">
      <c r="B1094" s="548"/>
      <c r="C1094" s="549"/>
    </row>
    <row r="1095" spans="2:3" ht="15" customHeight="1">
      <c r="B1095" s="548"/>
      <c r="C1095" s="549"/>
    </row>
    <row r="1096" spans="2:3" ht="15" customHeight="1">
      <c r="B1096" s="548"/>
      <c r="C1096" s="549"/>
    </row>
    <row r="1097" spans="2:3" ht="15" customHeight="1">
      <c r="B1097" s="548"/>
      <c r="C1097" s="549"/>
    </row>
    <row r="1098" spans="2:3" ht="15" customHeight="1">
      <c r="B1098" s="548"/>
      <c r="C1098" s="549"/>
    </row>
    <row r="1099" spans="2:3" ht="15" customHeight="1">
      <c r="B1099" s="548"/>
      <c r="C1099" s="549"/>
    </row>
    <row r="1100" spans="2:3" ht="15" customHeight="1">
      <c r="B1100" s="548"/>
      <c r="C1100" s="549"/>
    </row>
    <row r="1101" spans="2:3" ht="15" customHeight="1">
      <c r="B1101" s="548"/>
      <c r="C1101" s="549"/>
    </row>
    <row r="1102" spans="2:3" ht="15" customHeight="1">
      <c r="B1102" s="548"/>
      <c r="C1102" s="549"/>
    </row>
    <row r="1103" spans="2:3" ht="15" customHeight="1">
      <c r="B1103" s="548"/>
      <c r="C1103" s="549"/>
    </row>
    <row r="1104" spans="2:3" ht="15" customHeight="1">
      <c r="B1104" s="548"/>
      <c r="C1104" s="549"/>
    </row>
    <row r="1105" spans="2:3" ht="15" customHeight="1">
      <c r="B1105" s="548"/>
      <c r="C1105" s="549"/>
    </row>
    <row r="1106" spans="2:3" ht="15" customHeight="1">
      <c r="B1106" s="548"/>
      <c r="C1106" s="549"/>
    </row>
    <row r="1107" spans="2:3" ht="15" customHeight="1">
      <c r="B1107" s="548"/>
      <c r="C1107" s="549"/>
    </row>
    <row r="1108" spans="2:3" ht="15" customHeight="1">
      <c r="B1108" s="548"/>
      <c r="C1108" s="549"/>
    </row>
    <row r="1109" spans="2:3" ht="15" customHeight="1">
      <c r="B1109" s="548"/>
      <c r="C1109" s="549"/>
    </row>
    <row r="1110" spans="2:3" ht="15" customHeight="1">
      <c r="B1110" s="548"/>
      <c r="C1110" s="549"/>
    </row>
    <row r="1111" spans="2:3" ht="15" customHeight="1">
      <c r="B1111" s="548"/>
      <c r="C1111" s="549"/>
    </row>
    <row r="1112" spans="2:3" ht="15" customHeight="1">
      <c r="B1112" s="548"/>
      <c r="C1112" s="549"/>
    </row>
    <row r="1113" spans="2:3" ht="15" customHeight="1">
      <c r="B1113" s="548"/>
      <c r="C1113" s="549"/>
    </row>
    <row r="1114" spans="2:3" ht="15" customHeight="1">
      <c r="B1114" s="548"/>
      <c r="C1114" s="549"/>
    </row>
    <row r="1115" spans="2:3" ht="15" customHeight="1">
      <c r="B1115" s="548"/>
      <c r="C1115" s="549"/>
    </row>
    <row r="1116" spans="2:3" ht="15" customHeight="1">
      <c r="B1116" s="548"/>
      <c r="C1116" s="549"/>
    </row>
    <row r="1117" spans="2:3" ht="15" customHeight="1">
      <c r="B1117" s="548"/>
      <c r="C1117" s="549"/>
    </row>
    <row r="1118" spans="2:3" ht="15" customHeight="1">
      <c r="B1118" s="548"/>
      <c r="C1118" s="549"/>
    </row>
    <row r="1119" spans="2:3" ht="15" customHeight="1">
      <c r="B1119" s="548"/>
      <c r="C1119" s="549"/>
    </row>
    <row r="1120" spans="2:3" ht="15" customHeight="1">
      <c r="B1120" s="548"/>
      <c r="C1120" s="549"/>
    </row>
    <row r="1121" spans="2:3" ht="15" customHeight="1">
      <c r="B1121" s="548"/>
      <c r="C1121" s="549"/>
    </row>
    <row r="1122" spans="2:3" ht="15" customHeight="1">
      <c r="B1122" s="548"/>
      <c r="C1122" s="549"/>
    </row>
    <row r="1123" spans="2:3" ht="15" customHeight="1">
      <c r="B1123" s="548"/>
      <c r="C1123" s="549"/>
    </row>
    <row r="1124" spans="2:3" ht="15" customHeight="1">
      <c r="B1124" s="548"/>
      <c r="C1124" s="549"/>
    </row>
    <row r="1125" spans="2:3" ht="15" customHeight="1">
      <c r="B1125" s="548"/>
      <c r="C1125" s="549"/>
    </row>
    <row r="1126" spans="2:3" ht="15" customHeight="1">
      <c r="B1126" s="548"/>
      <c r="C1126" s="549"/>
    </row>
    <row r="1127" spans="2:3" ht="15" customHeight="1">
      <c r="B1127" s="548"/>
      <c r="C1127" s="549"/>
    </row>
    <row r="1128" spans="2:3" ht="15" customHeight="1">
      <c r="B1128" s="548"/>
      <c r="C1128" s="549"/>
    </row>
    <row r="1129" spans="2:3" ht="15" customHeight="1">
      <c r="B1129" s="548"/>
      <c r="C1129" s="549"/>
    </row>
    <row r="1130" spans="2:3" ht="15" customHeight="1">
      <c r="B1130" s="548"/>
      <c r="C1130" s="549"/>
    </row>
    <row r="1131" spans="2:3" ht="15" customHeight="1">
      <c r="B1131" s="548"/>
      <c r="C1131" s="549"/>
    </row>
    <row r="1132" spans="2:3" ht="15" customHeight="1">
      <c r="B1132" s="548"/>
      <c r="C1132" s="549"/>
    </row>
    <row r="1133" spans="2:3" ht="15" customHeight="1">
      <c r="B1133" s="548"/>
      <c r="C1133" s="549"/>
    </row>
    <row r="1134" spans="2:3" ht="15" customHeight="1">
      <c r="B1134" s="548"/>
      <c r="C1134" s="549"/>
    </row>
    <row r="1135" spans="2:3" ht="15" customHeight="1">
      <c r="B1135" s="548"/>
      <c r="C1135" s="549"/>
    </row>
    <row r="1136" spans="2:3" ht="15" customHeight="1">
      <c r="B1136" s="548"/>
      <c r="C1136" s="549"/>
    </row>
    <row r="1137" spans="2:3" ht="15" customHeight="1">
      <c r="B1137" s="548"/>
      <c r="C1137" s="549"/>
    </row>
    <row r="1138" spans="2:3" ht="15" customHeight="1">
      <c r="B1138" s="548"/>
      <c r="C1138" s="549"/>
    </row>
    <row r="1139" spans="2:3" ht="15" customHeight="1">
      <c r="B1139" s="548"/>
      <c r="C1139" s="549"/>
    </row>
    <row r="1140" spans="2:3" ht="15" customHeight="1">
      <c r="B1140" s="548"/>
      <c r="C1140" s="549"/>
    </row>
    <row r="1141" spans="2:3" ht="15" customHeight="1">
      <c r="B1141" s="548"/>
      <c r="C1141" s="549"/>
    </row>
    <row r="1142" spans="2:3" ht="15" customHeight="1">
      <c r="B1142" s="548"/>
      <c r="C1142" s="549"/>
    </row>
    <row r="1143" spans="2:3" ht="15" customHeight="1">
      <c r="B1143" s="548"/>
      <c r="C1143" s="549"/>
    </row>
    <row r="1144" spans="2:3" ht="15" customHeight="1">
      <c r="B1144" s="548"/>
      <c r="C1144" s="549"/>
    </row>
    <row r="1145" spans="2:3" ht="15" customHeight="1">
      <c r="B1145" s="548"/>
      <c r="C1145" s="549"/>
    </row>
    <row r="1146" spans="2:3" ht="15" customHeight="1">
      <c r="B1146" s="548"/>
      <c r="C1146" s="549"/>
    </row>
    <row r="1147" spans="2:3" ht="15" customHeight="1">
      <c r="B1147" s="548"/>
      <c r="C1147" s="549"/>
    </row>
    <row r="1148" spans="2:3" ht="15" customHeight="1">
      <c r="B1148" s="548"/>
      <c r="C1148" s="549"/>
    </row>
    <row r="1149" spans="2:3" ht="15" customHeight="1">
      <c r="B1149" s="548"/>
      <c r="C1149" s="549"/>
    </row>
    <row r="1150" spans="2:3" ht="15" customHeight="1">
      <c r="B1150" s="548"/>
      <c r="C1150" s="549"/>
    </row>
    <row r="1151" spans="2:3" ht="15" customHeight="1">
      <c r="B1151" s="548"/>
      <c r="C1151" s="549"/>
    </row>
    <row r="1152" spans="2:3" ht="15" customHeight="1">
      <c r="B1152" s="548"/>
      <c r="C1152" s="549"/>
    </row>
    <row r="1153" spans="2:3" ht="15" customHeight="1">
      <c r="B1153" s="548"/>
      <c r="C1153" s="549"/>
    </row>
    <row r="1154" spans="2:3" ht="15" customHeight="1">
      <c r="B1154" s="548"/>
      <c r="C1154" s="549"/>
    </row>
    <row r="1155" spans="2:3" ht="15" customHeight="1">
      <c r="B1155" s="548"/>
      <c r="C1155" s="549"/>
    </row>
    <row r="1156" spans="2:3" ht="15" customHeight="1">
      <c r="B1156" s="548"/>
      <c r="C1156" s="549"/>
    </row>
    <row r="1157" spans="2:3" ht="15" customHeight="1">
      <c r="B1157" s="548"/>
      <c r="C1157" s="549"/>
    </row>
    <row r="1158" spans="2:3" ht="15" customHeight="1">
      <c r="B1158" s="548"/>
      <c r="C1158" s="549"/>
    </row>
    <row r="1159" spans="2:3" ht="15" customHeight="1">
      <c r="B1159" s="548"/>
      <c r="C1159" s="549"/>
    </row>
    <row r="1160" spans="2:3" ht="15" customHeight="1">
      <c r="B1160" s="548"/>
      <c r="C1160" s="549"/>
    </row>
    <row r="1161" spans="2:3" ht="15" customHeight="1">
      <c r="B1161" s="548"/>
      <c r="C1161" s="549"/>
    </row>
    <row r="1162" spans="2:3" ht="15" customHeight="1">
      <c r="B1162" s="548"/>
      <c r="C1162" s="549"/>
    </row>
    <row r="1163" spans="2:3" ht="15" customHeight="1">
      <c r="B1163" s="548"/>
      <c r="C1163" s="549"/>
    </row>
    <row r="1164" spans="2:3" ht="15" customHeight="1">
      <c r="B1164" s="548"/>
      <c r="C1164" s="549"/>
    </row>
    <row r="1165" spans="2:3" ht="15" customHeight="1">
      <c r="B1165" s="548"/>
      <c r="C1165" s="549"/>
    </row>
    <row r="1166" spans="2:3" ht="15" customHeight="1">
      <c r="B1166" s="548"/>
      <c r="C1166" s="549"/>
    </row>
    <row r="1167" spans="2:3" ht="15" customHeight="1">
      <c r="B1167" s="548"/>
      <c r="C1167" s="549"/>
    </row>
    <row r="1168" spans="2:3" ht="15" customHeight="1">
      <c r="B1168" s="548"/>
      <c r="C1168" s="549"/>
    </row>
    <row r="1169" spans="2:3" ht="15" customHeight="1">
      <c r="B1169" s="548"/>
      <c r="C1169" s="549"/>
    </row>
    <row r="1170" spans="2:3" ht="15" customHeight="1">
      <c r="B1170" s="548"/>
      <c r="C1170" s="549"/>
    </row>
    <row r="1171" spans="2:3" ht="15" customHeight="1">
      <c r="B1171" s="548"/>
      <c r="C1171" s="549"/>
    </row>
    <row r="1172" spans="2:3" ht="15" customHeight="1">
      <c r="B1172" s="548"/>
      <c r="C1172" s="549"/>
    </row>
    <row r="1173" spans="2:3" ht="15" customHeight="1">
      <c r="B1173" s="548"/>
      <c r="C1173" s="549"/>
    </row>
    <row r="1174" spans="2:3" ht="15" customHeight="1">
      <c r="B1174" s="548"/>
      <c r="C1174" s="549"/>
    </row>
    <row r="1175" spans="2:3" ht="15" customHeight="1">
      <c r="B1175" s="548"/>
      <c r="C1175" s="549"/>
    </row>
    <row r="1176" spans="2:3" ht="15" customHeight="1">
      <c r="B1176" s="548"/>
      <c r="C1176" s="549"/>
    </row>
    <row r="1177" spans="2:3" ht="15" customHeight="1">
      <c r="B1177" s="548"/>
      <c r="C1177" s="549"/>
    </row>
    <row r="1178" spans="2:3" ht="15" customHeight="1">
      <c r="B1178" s="548"/>
      <c r="C1178" s="549"/>
    </row>
    <row r="1179" spans="2:3" ht="15" customHeight="1">
      <c r="B1179" s="548"/>
      <c r="C1179" s="549"/>
    </row>
    <row r="1180" spans="2:3" ht="15" customHeight="1">
      <c r="B1180" s="548"/>
      <c r="C1180" s="549"/>
    </row>
    <row r="1181" spans="2:3" ht="15" customHeight="1">
      <c r="B1181" s="548"/>
      <c r="C1181" s="549"/>
    </row>
    <row r="1182" spans="2:3" ht="15" customHeight="1">
      <c r="B1182" s="548"/>
      <c r="C1182" s="549"/>
    </row>
    <row r="1183" spans="2:3" ht="15" customHeight="1">
      <c r="B1183" s="548"/>
      <c r="C1183" s="549"/>
    </row>
    <row r="1184" spans="2:3" ht="15" customHeight="1">
      <c r="B1184" s="548"/>
      <c r="C1184" s="549"/>
    </row>
    <row r="1185" spans="2:3" ht="15" customHeight="1">
      <c r="B1185" s="548"/>
      <c r="C1185" s="549"/>
    </row>
    <row r="1186" spans="2:3" ht="15" customHeight="1">
      <c r="B1186" s="548"/>
      <c r="C1186" s="549"/>
    </row>
    <row r="1187" spans="2:3" ht="15" customHeight="1">
      <c r="B1187" s="548"/>
      <c r="C1187" s="549"/>
    </row>
    <row r="1188" spans="2:3" ht="15" customHeight="1">
      <c r="B1188" s="548"/>
      <c r="C1188" s="549"/>
    </row>
    <row r="1189" spans="2:3" ht="15" customHeight="1">
      <c r="B1189" s="548"/>
      <c r="C1189" s="549"/>
    </row>
    <row r="1190" spans="2:3" ht="15" customHeight="1">
      <c r="B1190" s="548"/>
      <c r="C1190" s="549"/>
    </row>
    <row r="1191" spans="2:3" ht="15" customHeight="1">
      <c r="B1191" s="548"/>
      <c r="C1191" s="549"/>
    </row>
    <row r="1192" spans="2:3" ht="15" customHeight="1">
      <c r="B1192" s="548"/>
      <c r="C1192" s="549"/>
    </row>
    <row r="1193" spans="2:3" ht="15" customHeight="1">
      <c r="B1193" s="548"/>
      <c r="C1193" s="549"/>
    </row>
    <row r="1194" spans="2:3" ht="15" customHeight="1">
      <c r="B1194" s="548"/>
      <c r="C1194" s="549"/>
    </row>
    <row r="1195" spans="2:3" ht="15" customHeight="1">
      <c r="B1195" s="548"/>
      <c r="C1195" s="549"/>
    </row>
    <row r="1196" spans="2:3" ht="15" customHeight="1">
      <c r="B1196" s="548"/>
      <c r="C1196" s="549"/>
    </row>
    <row r="1197" spans="2:3" ht="15" customHeight="1">
      <c r="B1197" s="548"/>
      <c r="C1197" s="549"/>
    </row>
    <row r="1198" spans="2:3" ht="15" customHeight="1">
      <c r="B1198" s="548"/>
      <c r="C1198" s="549"/>
    </row>
    <row r="1199" spans="2:3" ht="15" customHeight="1">
      <c r="B1199" s="548"/>
      <c r="C1199" s="549"/>
    </row>
    <row r="1200" spans="2:3" ht="15" customHeight="1">
      <c r="B1200" s="548"/>
      <c r="C1200" s="549"/>
    </row>
    <row r="1201" spans="2:3" ht="15" customHeight="1">
      <c r="B1201" s="548"/>
      <c r="C1201" s="549"/>
    </row>
    <row r="1202" spans="2:3" ht="15" customHeight="1">
      <c r="B1202" s="548"/>
      <c r="C1202" s="549"/>
    </row>
    <row r="1203" spans="2:3" ht="15" customHeight="1">
      <c r="B1203" s="548"/>
      <c r="C1203" s="549"/>
    </row>
    <row r="1204" spans="2:3" ht="15" customHeight="1">
      <c r="B1204" s="548"/>
      <c r="C1204" s="549"/>
    </row>
    <row r="1205" spans="2:3" ht="15" customHeight="1">
      <c r="B1205" s="548"/>
      <c r="C1205" s="549"/>
    </row>
    <row r="1206" spans="2:3" ht="15" customHeight="1">
      <c r="B1206" s="548"/>
      <c r="C1206" s="549"/>
    </row>
    <row r="1207" spans="2:3" ht="15" customHeight="1">
      <c r="B1207" s="548"/>
      <c r="C1207" s="549"/>
    </row>
    <row r="1208" spans="2:3" ht="15" customHeight="1">
      <c r="B1208" s="548"/>
      <c r="C1208" s="549"/>
    </row>
    <row r="1209" spans="2:3" ht="15" customHeight="1">
      <c r="B1209" s="548"/>
      <c r="C1209" s="549"/>
    </row>
    <row r="1210" spans="2:3" ht="15" customHeight="1">
      <c r="B1210" s="548"/>
      <c r="C1210" s="549"/>
    </row>
    <row r="1211" spans="2:3" ht="15" customHeight="1">
      <c r="B1211" s="548"/>
      <c r="C1211" s="549"/>
    </row>
    <row r="1212" spans="2:3" ht="15" customHeight="1">
      <c r="B1212" s="548"/>
      <c r="C1212" s="549"/>
    </row>
    <row r="1213" spans="2:3" ht="15" customHeight="1">
      <c r="B1213" s="548"/>
      <c r="C1213" s="549"/>
    </row>
    <row r="1214" spans="2:3" ht="15" customHeight="1">
      <c r="B1214" s="548"/>
      <c r="C1214" s="549"/>
    </row>
    <row r="1215" spans="2:3" ht="15" customHeight="1">
      <c r="B1215" s="548"/>
      <c r="C1215" s="549"/>
    </row>
    <row r="1216" spans="2:3" ht="15" customHeight="1">
      <c r="B1216" s="548"/>
      <c r="C1216" s="549"/>
    </row>
    <row r="1217" spans="2:3" ht="15" customHeight="1">
      <c r="B1217" s="548"/>
      <c r="C1217" s="549"/>
    </row>
    <row r="1218" spans="2:3" ht="15" customHeight="1">
      <c r="B1218" s="548"/>
      <c r="C1218" s="549"/>
    </row>
    <row r="1219" spans="2:3" ht="15" customHeight="1">
      <c r="B1219" s="548"/>
      <c r="C1219" s="549"/>
    </row>
    <row r="1220" spans="2:3" ht="15" customHeight="1">
      <c r="B1220" s="548"/>
      <c r="C1220" s="549"/>
    </row>
    <row r="1221" spans="2:3" ht="15" customHeight="1">
      <c r="B1221" s="548"/>
      <c r="C1221" s="549"/>
    </row>
    <row r="1222" spans="2:3" ht="15" customHeight="1">
      <c r="B1222" s="548"/>
      <c r="C1222" s="549"/>
    </row>
    <row r="1223" spans="2:3" ht="15" customHeight="1">
      <c r="B1223" s="548"/>
      <c r="C1223" s="549"/>
    </row>
    <row r="1224" spans="2:3" ht="15" customHeight="1">
      <c r="B1224" s="548"/>
      <c r="C1224" s="549"/>
    </row>
    <row r="1225" spans="2:3" ht="15" customHeight="1">
      <c r="B1225" s="548"/>
      <c r="C1225" s="549"/>
    </row>
    <row r="1226" spans="2:3" ht="15" customHeight="1">
      <c r="B1226" s="548"/>
      <c r="C1226" s="549"/>
    </row>
    <row r="1227" spans="2:3" ht="15" customHeight="1">
      <c r="B1227" s="548"/>
      <c r="C1227" s="549"/>
    </row>
    <row r="1228" spans="2:3" ht="15" customHeight="1">
      <c r="B1228" s="548"/>
      <c r="C1228" s="549"/>
    </row>
    <row r="1229" spans="2:3" ht="15" customHeight="1">
      <c r="B1229" s="548"/>
      <c r="C1229" s="549"/>
    </row>
    <row r="1230" spans="2:3" ht="15" customHeight="1">
      <c r="B1230" s="548"/>
      <c r="C1230" s="549"/>
    </row>
    <row r="1231" spans="2:3" ht="15" customHeight="1">
      <c r="B1231" s="548"/>
      <c r="C1231" s="549"/>
    </row>
    <row r="1232" spans="2:3" ht="15" customHeight="1">
      <c r="B1232" s="548"/>
      <c r="C1232" s="549"/>
    </row>
    <row r="1233" spans="2:3" ht="15" customHeight="1">
      <c r="B1233" s="548"/>
      <c r="C1233" s="549"/>
    </row>
    <row r="1234" spans="2:3" ht="15" customHeight="1">
      <c r="B1234" s="548"/>
      <c r="C1234" s="549"/>
    </row>
    <row r="1235" spans="2:3" ht="15" customHeight="1">
      <c r="B1235" s="548"/>
      <c r="C1235" s="549"/>
    </row>
    <row r="1236" spans="2:3" ht="15" customHeight="1">
      <c r="B1236" s="548"/>
      <c r="C1236" s="549"/>
    </row>
    <row r="1237" spans="2:3" ht="15" customHeight="1">
      <c r="B1237" s="548"/>
      <c r="C1237" s="549"/>
    </row>
    <row r="1238" spans="2:3" ht="15" customHeight="1">
      <c r="B1238" s="548"/>
      <c r="C1238" s="549"/>
    </row>
    <row r="1239" spans="2:3" ht="15" customHeight="1">
      <c r="B1239" s="548"/>
      <c r="C1239" s="549"/>
    </row>
    <row r="1240" spans="2:3" ht="15" customHeight="1">
      <c r="B1240" s="548"/>
      <c r="C1240" s="549"/>
    </row>
    <row r="1241" spans="2:3" ht="15" customHeight="1">
      <c r="B1241" s="548"/>
      <c r="C1241" s="549"/>
    </row>
    <row r="1242" spans="2:3" ht="15" customHeight="1">
      <c r="B1242" s="548"/>
      <c r="C1242" s="549"/>
    </row>
    <row r="1243" spans="2:3" ht="15" customHeight="1">
      <c r="B1243" s="548"/>
      <c r="C1243" s="549"/>
    </row>
    <row r="1244" spans="2:3" ht="15" customHeight="1">
      <c r="B1244" s="548"/>
      <c r="C1244" s="549"/>
    </row>
    <row r="1245" spans="2:3" ht="15" customHeight="1">
      <c r="B1245" s="548"/>
      <c r="C1245" s="549"/>
    </row>
    <row r="1246" spans="2:3" ht="15" customHeight="1">
      <c r="B1246" s="548"/>
      <c r="C1246" s="549"/>
    </row>
    <row r="1247" spans="2:3" ht="15" customHeight="1">
      <c r="B1247" s="548"/>
      <c r="C1247" s="549"/>
    </row>
    <row r="1248" spans="2:3" ht="15" customHeight="1">
      <c r="B1248" s="548"/>
      <c r="C1248" s="549"/>
    </row>
    <row r="1249" spans="2:3" ht="15" customHeight="1">
      <c r="B1249" s="548"/>
      <c r="C1249" s="549"/>
    </row>
    <row r="1250" spans="2:3" ht="15" customHeight="1">
      <c r="B1250" s="548"/>
      <c r="C1250" s="549"/>
    </row>
    <row r="1251" spans="2:3" ht="15" customHeight="1">
      <c r="B1251" s="548"/>
      <c r="C1251" s="549"/>
    </row>
    <row r="1252" spans="2:3" ht="15" customHeight="1">
      <c r="B1252" s="548"/>
      <c r="C1252" s="549"/>
    </row>
    <row r="1253" spans="2:3" ht="15" customHeight="1">
      <c r="B1253" s="548"/>
      <c r="C1253" s="549"/>
    </row>
    <row r="1254" spans="2:3" ht="15" customHeight="1">
      <c r="B1254" s="548"/>
      <c r="C1254" s="549"/>
    </row>
    <row r="1255" spans="2:3" ht="15" customHeight="1">
      <c r="B1255" s="548"/>
      <c r="C1255" s="549"/>
    </row>
    <row r="1256" spans="2:3" ht="15" customHeight="1">
      <c r="B1256" s="548"/>
      <c r="C1256" s="549"/>
    </row>
    <row r="1257" spans="2:3" ht="15" customHeight="1">
      <c r="B1257" s="548"/>
      <c r="C1257" s="549"/>
    </row>
    <row r="1258" spans="2:3" ht="15" customHeight="1">
      <c r="B1258" s="548"/>
      <c r="C1258" s="549"/>
    </row>
    <row r="1259" spans="2:3" ht="15" customHeight="1">
      <c r="B1259" s="548"/>
      <c r="C1259" s="549"/>
    </row>
    <row r="1260" spans="2:3" ht="15" customHeight="1">
      <c r="B1260" s="548"/>
      <c r="C1260" s="549"/>
    </row>
    <row r="1261" spans="2:3" ht="15" customHeight="1">
      <c r="B1261" s="548"/>
      <c r="C1261" s="549"/>
    </row>
    <row r="1262" spans="2:3" ht="15" customHeight="1">
      <c r="B1262" s="548"/>
      <c r="C1262" s="549"/>
    </row>
    <row r="1263" spans="2:3" ht="15" customHeight="1">
      <c r="B1263" s="548"/>
      <c r="C1263" s="549"/>
    </row>
    <row r="1264" spans="2:3" ht="15" customHeight="1">
      <c r="B1264" s="548"/>
      <c r="C1264" s="549"/>
    </row>
    <row r="1265" spans="2:3" ht="15" customHeight="1">
      <c r="B1265" s="548"/>
      <c r="C1265" s="549"/>
    </row>
    <row r="1266" spans="2:3" ht="15" customHeight="1">
      <c r="B1266" s="548"/>
      <c r="C1266" s="549"/>
    </row>
    <row r="1267" spans="2:3" ht="15" customHeight="1">
      <c r="B1267" s="548"/>
      <c r="C1267" s="549"/>
    </row>
    <row r="1268" spans="2:3" ht="15" customHeight="1">
      <c r="B1268" s="548"/>
      <c r="C1268" s="549"/>
    </row>
    <row r="1269" spans="2:3" ht="15" customHeight="1">
      <c r="B1269" s="548"/>
      <c r="C1269" s="549"/>
    </row>
    <row r="1270" spans="2:3" ht="15" customHeight="1">
      <c r="B1270" s="548"/>
      <c r="C1270" s="549"/>
    </row>
    <row r="1271" spans="2:3" ht="15" customHeight="1">
      <c r="B1271" s="548"/>
      <c r="C1271" s="549"/>
    </row>
    <row r="1272" spans="2:3" ht="15" customHeight="1">
      <c r="B1272" s="548"/>
      <c r="C1272" s="549"/>
    </row>
    <row r="1273" spans="2:3" ht="15" customHeight="1">
      <c r="B1273" s="548"/>
      <c r="C1273" s="549"/>
    </row>
    <row r="1274" spans="2:3" ht="15" customHeight="1">
      <c r="B1274" s="548"/>
      <c r="C1274" s="549"/>
    </row>
    <row r="1275" spans="2:3" ht="15" customHeight="1">
      <c r="B1275" s="548"/>
      <c r="C1275" s="549"/>
    </row>
    <row r="1276" spans="2:3" ht="15" customHeight="1">
      <c r="B1276" s="548"/>
      <c r="C1276" s="549"/>
    </row>
    <row r="1277" spans="2:3" ht="15" customHeight="1">
      <c r="B1277" s="548"/>
      <c r="C1277" s="549"/>
    </row>
    <row r="1278" spans="2:3" ht="15" customHeight="1">
      <c r="B1278" s="548"/>
      <c r="C1278" s="549"/>
    </row>
    <row r="1279" spans="2:3" ht="15" customHeight="1">
      <c r="B1279" s="548"/>
      <c r="C1279" s="549"/>
    </row>
    <row r="1280" spans="2:3" ht="15" customHeight="1">
      <c r="B1280" s="548"/>
      <c r="C1280" s="549"/>
    </row>
    <row r="1281" spans="2:3" ht="15" customHeight="1">
      <c r="B1281" s="548"/>
      <c r="C1281" s="549"/>
    </row>
    <row r="1282" spans="2:3" ht="15" customHeight="1">
      <c r="B1282" s="548"/>
      <c r="C1282" s="549"/>
    </row>
    <row r="1283" spans="2:3" ht="15" customHeight="1">
      <c r="B1283" s="548"/>
      <c r="C1283" s="549"/>
    </row>
    <row r="1284" spans="2:3" ht="15" customHeight="1">
      <c r="B1284" s="548"/>
      <c r="C1284" s="549"/>
    </row>
    <row r="1285" spans="2:3" ht="15" customHeight="1">
      <c r="B1285" s="548"/>
      <c r="C1285" s="549"/>
    </row>
    <row r="1286" spans="2:3" ht="15" customHeight="1">
      <c r="B1286" s="548"/>
      <c r="C1286" s="549"/>
    </row>
    <row r="1287" spans="2:3" ht="15" customHeight="1">
      <c r="B1287" s="548"/>
      <c r="C1287" s="549"/>
    </row>
    <row r="1288" spans="2:3" ht="15" customHeight="1">
      <c r="B1288" s="548"/>
      <c r="C1288" s="549"/>
    </row>
    <row r="1289" spans="2:3" ht="15" customHeight="1">
      <c r="B1289" s="548"/>
      <c r="C1289" s="549"/>
    </row>
    <row r="1290" spans="2:3" ht="15" customHeight="1">
      <c r="B1290" s="548"/>
      <c r="C1290" s="549"/>
    </row>
    <row r="1291" spans="2:3" ht="15" customHeight="1">
      <c r="B1291" s="548"/>
      <c r="C1291" s="549"/>
    </row>
    <row r="1292" spans="2:3" ht="15" customHeight="1">
      <c r="B1292" s="548"/>
      <c r="C1292" s="549"/>
    </row>
    <row r="1293" spans="2:3" ht="15" customHeight="1">
      <c r="B1293" s="548"/>
      <c r="C1293" s="549"/>
    </row>
    <row r="1294" spans="2:3" ht="15" customHeight="1">
      <c r="B1294" s="548"/>
      <c r="C1294" s="549"/>
    </row>
    <row r="1295" spans="2:3" ht="15" customHeight="1">
      <c r="B1295" s="548"/>
      <c r="C1295" s="549"/>
    </row>
    <row r="1296" spans="2:3" ht="15" customHeight="1">
      <c r="B1296" s="548"/>
      <c r="C1296" s="549"/>
    </row>
    <row r="1297" spans="2:3" ht="15" customHeight="1">
      <c r="B1297" s="548"/>
      <c r="C1297" s="549"/>
    </row>
    <row r="1298" spans="2:3" ht="15" customHeight="1">
      <c r="B1298" s="548"/>
      <c r="C1298" s="549"/>
    </row>
    <row r="1299" spans="2:3" ht="15" customHeight="1">
      <c r="B1299" s="548"/>
      <c r="C1299" s="549"/>
    </row>
    <row r="1300" spans="2:3" ht="15" customHeight="1">
      <c r="B1300" s="548"/>
      <c r="C1300" s="549"/>
    </row>
    <row r="1301" spans="2:3" ht="15" customHeight="1">
      <c r="B1301" s="548"/>
      <c r="C1301" s="549"/>
    </row>
    <row r="1302" spans="2:3" ht="15" customHeight="1">
      <c r="B1302" s="548"/>
      <c r="C1302" s="549"/>
    </row>
    <row r="1303" spans="2:3" ht="15" customHeight="1">
      <c r="B1303" s="548"/>
      <c r="C1303" s="549"/>
    </row>
    <row r="1304" spans="2:3" ht="15" customHeight="1">
      <c r="B1304" s="548"/>
      <c r="C1304" s="549"/>
    </row>
    <row r="1305" spans="2:3" ht="15" customHeight="1">
      <c r="B1305" s="548"/>
      <c r="C1305" s="549"/>
    </row>
    <row r="1306" spans="2:3" ht="15" customHeight="1">
      <c r="B1306" s="548"/>
      <c r="C1306" s="549"/>
    </row>
    <row r="1307" spans="2:3" ht="15" customHeight="1">
      <c r="B1307" s="548"/>
      <c r="C1307" s="549"/>
    </row>
    <row r="1308" spans="2:3" ht="15" customHeight="1">
      <c r="B1308" s="548"/>
      <c r="C1308" s="549"/>
    </row>
    <row r="1309" spans="2:3" ht="15" customHeight="1">
      <c r="B1309" s="548"/>
      <c r="C1309" s="549"/>
    </row>
    <row r="1310" spans="2:3" ht="15" customHeight="1">
      <c r="B1310" s="548"/>
      <c r="C1310" s="549"/>
    </row>
    <row r="1311" spans="2:3" ht="15" customHeight="1">
      <c r="B1311" s="548"/>
      <c r="C1311" s="549"/>
    </row>
    <row r="1312" spans="2:3" ht="15" customHeight="1">
      <c r="B1312" s="548"/>
      <c r="C1312" s="549"/>
    </row>
    <row r="1313" spans="2:3" ht="15" customHeight="1">
      <c r="B1313" s="548"/>
      <c r="C1313" s="549"/>
    </row>
    <row r="1314" spans="2:3" ht="15" customHeight="1">
      <c r="B1314" s="548"/>
      <c r="C1314" s="549"/>
    </row>
    <row r="1315" spans="2:3" ht="15" customHeight="1">
      <c r="B1315" s="548"/>
      <c r="C1315" s="549"/>
    </row>
    <row r="1316" spans="2:3" ht="15" customHeight="1">
      <c r="B1316" s="548"/>
      <c r="C1316" s="549"/>
    </row>
    <row r="1317" spans="2:3" ht="15" customHeight="1">
      <c r="B1317" s="548"/>
      <c r="C1317" s="549"/>
    </row>
    <row r="1318" spans="2:3" ht="15" customHeight="1">
      <c r="B1318" s="548"/>
      <c r="C1318" s="549"/>
    </row>
    <row r="1319" spans="2:3" ht="15" customHeight="1">
      <c r="B1319" s="548"/>
      <c r="C1319" s="549"/>
    </row>
    <row r="1320" spans="2:3" ht="15" customHeight="1">
      <c r="B1320" s="548"/>
      <c r="C1320" s="549"/>
    </row>
    <row r="1321" spans="2:3" ht="15" customHeight="1">
      <c r="B1321" s="548"/>
      <c r="C1321" s="549"/>
    </row>
    <row r="1322" spans="2:3" ht="15" customHeight="1">
      <c r="B1322" s="548"/>
      <c r="C1322" s="549"/>
    </row>
    <row r="1323" spans="2:3" ht="15" customHeight="1">
      <c r="B1323" s="548"/>
      <c r="C1323" s="549"/>
    </row>
    <row r="1324" spans="2:3" ht="15" customHeight="1">
      <c r="B1324" s="548"/>
      <c r="C1324" s="549"/>
    </row>
    <row r="1325" spans="2:3" ht="15" customHeight="1">
      <c r="B1325" s="548"/>
      <c r="C1325" s="549"/>
    </row>
    <row r="1326" spans="2:3" ht="15" customHeight="1">
      <c r="B1326" s="548"/>
      <c r="C1326" s="549"/>
    </row>
    <row r="1327" spans="2:3" ht="15" customHeight="1">
      <c r="B1327" s="548"/>
      <c r="C1327" s="549"/>
    </row>
    <row r="1328" spans="2:3" ht="15" customHeight="1">
      <c r="B1328" s="548"/>
      <c r="C1328" s="549"/>
    </row>
    <row r="1329" spans="2:3" ht="15" customHeight="1">
      <c r="B1329" s="548"/>
      <c r="C1329" s="549"/>
    </row>
    <row r="1330" spans="2:3" ht="15" customHeight="1">
      <c r="B1330" s="548"/>
      <c r="C1330" s="549"/>
    </row>
    <row r="1331" spans="2:3" ht="15" customHeight="1">
      <c r="B1331" s="548"/>
      <c r="C1331" s="549"/>
    </row>
    <row r="1332" spans="2:3" ht="15" customHeight="1">
      <c r="B1332" s="548"/>
      <c r="C1332" s="549"/>
    </row>
    <row r="1333" spans="2:3" ht="15" customHeight="1">
      <c r="B1333" s="548"/>
      <c r="C1333" s="549"/>
    </row>
    <row r="1334" spans="2:3" ht="15" customHeight="1">
      <c r="B1334" s="548"/>
      <c r="C1334" s="549"/>
    </row>
    <row r="1335" spans="2:3" ht="15" customHeight="1">
      <c r="B1335" s="548"/>
      <c r="C1335" s="549"/>
    </row>
    <row r="1336" spans="2:3" ht="15" customHeight="1">
      <c r="B1336" s="548"/>
      <c r="C1336" s="549"/>
    </row>
    <row r="1337" spans="2:3" ht="15" customHeight="1">
      <c r="B1337" s="548"/>
      <c r="C1337" s="549"/>
    </row>
    <row r="1338" spans="2:3" ht="15" customHeight="1">
      <c r="B1338" s="548"/>
      <c r="C1338" s="549"/>
    </row>
    <row r="1339" spans="2:3" ht="15" customHeight="1">
      <c r="B1339" s="548"/>
      <c r="C1339" s="549"/>
    </row>
    <row r="1340" spans="2:3" ht="15" customHeight="1">
      <c r="B1340" s="548"/>
      <c r="C1340" s="549"/>
    </row>
    <row r="1341" spans="2:3" ht="15" customHeight="1">
      <c r="B1341" s="548"/>
      <c r="C1341" s="549"/>
    </row>
    <row r="1342" spans="2:3" ht="15" customHeight="1">
      <c r="B1342" s="548"/>
      <c r="C1342" s="549"/>
    </row>
    <row r="1343" spans="2:3" ht="15" customHeight="1">
      <c r="B1343" s="548"/>
      <c r="C1343" s="549"/>
    </row>
    <row r="1344" spans="2:3" ht="15" customHeight="1">
      <c r="B1344" s="548"/>
      <c r="C1344" s="549"/>
    </row>
    <row r="1345" spans="2:3" ht="15" customHeight="1">
      <c r="B1345" s="548"/>
      <c r="C1345" s="549"/>
    </row>
    <row r="1346" spans="2:3" ht="15" customHeight="1">
      <c r="B1346" s="548"/>
      <c r="C1346" s="549"/>
    </row>
    <row r="1347" spans="2:3" ht="15" customHeight="1">
      <c r="B1347" s="548"/>
      <c r="C1347" s="549"/>
    </row>
    <row r="1348" spans="2:3" ht="15" customHeight="1">
      <c r="B1348" s="548"/>
      <c r="C1348" s="549"/>
    </row>
    <row r="1349" spans="2:3" ht="15" customHeight="1">
      <c r="B1349" s="548"/>
      <c r="C1349" s="549"/>
    </row>
    <row r="1350" spans="2:3" ht="15" customHeight="1">
      <c r="B1350" s="548"/>
      <c r="C1350" s="549"/>
    </row>
    <row r="1351" spans="2:3" ht="15" customHeight="1">
      <c r="B1351" s="548"/>
      <c r="C1351" s="549"/>
    </row>
    <row r="1352" spans="2:3" ht="15" customHeight="1">
      <c r="B1352" s="548"/>
      <c r="C1352" s="549"/>
    </row>
    <row r="1353" spans="2:3" ht="15" customHeight="1">
      <c r="B1353" s="548"/>
      <c r="C1353" s="549"/>
    </row>
    <row r="1354" spans="2:3" ht="15" customHeight="1">
      <c r="B1354" s="548"/>
      <c r="C1354" s="549"/>
    </row>
    <row r="1355" spans="2:3" ht="15" customHeight="1">
      <c r="B1355" s="548"/>
      <c r="C1355" s="549"/>
    </row>
    <row r="1356" spans="2:3" ht="15" customHeight="1">
      <c r="B1356" s="548"/>
      <c r="C1356" s="549"/>
    </row>
    <row r="1357" spans="2:3" ht="15" customHeight="1">
      <c r="B1357" s="548"/>
      <c r="C1357" s="549"/>
    </row>
    <row r="1358" spans="2:3" ht="15" customHeight="1">
      <c r="B1358" s="548"/>
      <c r="C1358" s="549"/>
    </row>
    <row r="1359" spans="2:3" ht="15" customHeight="1">
      <c r="B1359" s="548"/>
      <c r="C1359" s="549"/>
    </row>
    <row r="1360" spans="2:3" ht="15" customHeight="1">
      <c r="B1360" s="548"/>
      <c r="C1360" s="549"/>
    </row>
    <row r="1361" spans="2:3" ht="15" customHeight="1">
      <c r="B1361" s="548"/>
      <c r="C1361" s="549"/>
    </row>
    <row r="1362" spans="2:3" ht="15" customHeight="1">
      <c r="B1362" s="548"/>
      <c r="C1362" s="549"/>
    </row>
    <row r="1363" spans="2:3" ht="15" customHeight="1">
      <c r="B1363" s="548"/>
      <c r="C1363" s="549"/>
    </row>
    <row r="1364" spans="2:3" ht="15" customHeight="1">
      <c r="B1364" s="548"/>
      <c r="C1364" s="549"/>
    </row>
    <row r="1365" spans="2:3" ht="15" customHeight="1">
      <c r="B1365" s="548"/>
      <c r="C1365" s="549"/>
    </row>
    <row r="1366" spans="2:3" ht="15" customHeight="1">
      <c r="B1366" s="548"/>
      <c r="C1366" s="549"/>
    </row>
    <row r="1367" spans="2:3" ht="15" customHeight="1">
      <c r="B1367" s="548"/>
      <c r="C1367" s="549"/>
    </row>
    <row r="1368" spans="2:3" ht="15" customHeight="1">
      <c r="B1368" s="548"/>
      <c r="C1368" s="549"/>
    </row>
    <row r="1369" spans="2:3" ht="15" customHeight="1">
      <c r="B1369" s="548"/>
      <c r="C1369" s="549"/>
    </row>
    <row r="1370" spans="2:3" ht="15" customHeight="1">
      <c r="B1370" s="548"/>
      <c r="C1370" s="549"/>
    </row>
    <row r="1371" spans="2:3" ht="15" customHeight="1">
      <c r="B1371" s="548"/>
      <c r="C1371" s="549"/>
    </row>
    <row r="1372" spans="2:3" ht="15" customHeight="1">
      <c r="B1372" s="548"/>
      <c r="C1372" s="549"/>
    </row>
    <row r="1373" spans="2:3" ht="15" customHeight="1">
      <c r="B1373" s="548"/>
      <c r="C1373" s="549"/>
    </row>
    <row r="1374" spans="2:3" ht="15" customHeight="1">
      <c r="B1374" s="548"/>
      <c r="C1374" s="549"/>
    </row>
    <row r="1375" spans="2:3" ht="15" customHeight="1">
      <c r="B1375" s="548"/>
      <c r="C1375" s="549"/>
    </row>
    <row r="1376" spans="2:3" ht="15" customHeight="1">
      <c r="B1376" s="548"/>
      <c r="C1376" s="549"/>
    </row>
    <row r="1377" spans="2:3" ht="15" customHeight="1">
      <c r="B1377" s="548"/>
      <c r="C1377" s="549"/>
    </row>
    <row r="1378" spans="2:3" ht="15" customHeight="1">
      <c r="B1378" s="548"/>
      <c r="C1378" s="549"/>
    </row>
    <row r="1379" spans="2:3" ht="15" customHeight="1">
      <c r="B1379" s="548"/>
      <c r="C1379" s="549"/>
    </row>
    <row r="1380" spans="2:3" ht="15" customHeight="1">
      <c r="B1380" s="548"/>
      <c r="C1380" s="549"/>
    </row>
    <row r="1381" spans="2:3" ht="15" customHeight="1">
      <c r="B1381" s="548"/>
      <c r="C1381" s="549"/>
    </row>
    <row r="1382" spans="2:3" ht="15" customHeight="1">
      <c r="B1382" s="548"/>
      <c r="C1382" s="549"/>
    </row>
    <row r="1383" spans="2:3" ht="15" customHeight="1">
      <c r="B1383" s="548"/>
      <c r="C1383" s="549"/>
    </row>
    <row r="1384" spans="2:3" ht="15" customHeight="1">
      <c r="B1384" s="548"/>
      <c r="C1384" s="549"/>
    </row>
    <row r="1385" spans="2:3" ht="15" customHeight="1">
      <c r="B1385" s="548"/>
      <c r="C1385" s="549"/>
    </row>
    <row r="1386" spans="2:3" ht="15" customHeight="1">
      <c r="B1386" s="548"/>
      <c r="C1386" s="549"/>
    </row>
    <row r="1387" spans="2:3" ht="15" customHeight="1">
      <c r="B1387" s="548"/>
      <c r="C1387" s="549"/>
    </row>
    <row r="1388" spans="2:3" ht="15" customHeight="1">
      <c r="B1388" s="548"/>
      <c r="C1388" s="549"/>
    </row>
    <row r="1389" spans="2:3" ht="15" customHeight="1">
      <c r="B1389" s="548"/>
      <c r="C1389" s="549"/>
    </row>
    <row r="1390" spans="2:3" ht="15" customHeight="1">
      <c r="B1390" s="548"/>
      <c r="C1390" s="549"/>
    </row>
    <row r="1391" spans="2:3" ht="15" customHeight="1">
      <c r="B1391" s="548"/>
      <c r="C1391" s="549"/>
    </row>
    <row r="1392" spans="2:3" ht="15" customHeight="1">
      <c r="B1392" s="548"/>
      <c r="C1392" s="549"/>
    </row>
    <row r="1393" spans="2:3" ht="15" customHeight="1">
      <c r="B1393" s="548"/>
      <c r="C1393" s="549"/>
    </row>
    <row r="1394" spans="2:3" ht="15" customHeight="1">
      <c r="B1394" s="548"/>
      <c r="C1394" s="549"/>
    </row>
    <row r="1395" spans="2:3" ht="15" customHeight="1">
      <c r="B1395" s="548"/>
      <c r="C1395" s="549"/>
    </row>
    <row r="1396" spans="2:3" ht="15" customHeight="1">
      <c r="B1396" s="548"/>
      <c r="C1396" s="549"/>
    </row>
    <row r="1397" spans="2:3" ht="15" customHeight="1">
      <c r="B1397" s="548"/>
      <c r="C1397" s="549"/>
    </row>
    <row r="1398" spans="2:3" ht="15" customHeight="1">
      <c r="B1398" s="548"/>
      <c r="C1398" s="549"/>
    </row>
    <row r="1399" spans="2:3" ht="15" customHeight="1">
      <c r="B1399" s="548"/>
      <c r="C1399" s="549"/>
    </row>
    <row r="1400" spans="2:3" ht="15" customHeight="1">
      <c r="B1400" s="548"/>
      <c r="C1400" s="549"/>
    </row>
    <row r="1401" spans="2:3" ht="15" customHeight="1">
      <c r="B1401" s="548"/>
      <c r="C1401" s="549"/>
    </row>
    <row r="1402" spans="2:3" ht="15" customHeight="1">
      <c r="B1402" s="548"/>
      <c r="C1402" s="549"/>
    </row>
    <row r="1403" spans="2:3" ht="15" customHeight="1">
      <c r="B1403" s="548"/>
      <c r="C1403" s="549"/>
    </row>
    <row r="1404" spans="2:3" ht="15" customHeight="1">
      <c r="B1404" s="548"/>
      <c r="C1404" s="549"/>
    </row>
    <row r="1405" spans="2:3" ht="15" customHeight="1">
      <c r="B1405" s="548"/>
      <c r="C1405" s="549"/>
    </row>
    <row r="1406" spans="2:3" ht="15" customHeight="1">
      <c r="B1406" s="548"/>
      <c r="C1406" s="549"/>
    </row>
    <row r="1407" spans="2:3" ht="15" customHeight="1">
      <c r="B1407" s="548"/>
      <c r="C1407" s="549"/>
    </row>
    <row r="1408" spans="2:3" ht="15" customHeight="1">
      <c r="B1408" s="548"/>
      <c r="C1408" s="549"/>
    </row>
    <row r="1409" spans="2:3" ht="15" customHeight="1">
      <c r="B1409" s="548"/>
      <c r="C1409" s="549"/>
    </row>
    <row r="1410" spans="2:3" ht="15" customHeight="1">
      <c r="B1410" s="548"/>
      <c r="C1410" s="549"/>
    </row>
    <row r="1411" spans="2:3" ht="15" customHeight="1">
      <c r="B1411" s="548"/>
      <c r="C1411" s="549"/>
    </row>
    <row r="1412" spans="2:3" ht="15" customHeight="1">
      <c r="B1412" s="548"/>
      <c r="C1412" s="549"/>
    </row>
    <row r="1413" spans="2:3" ht="15" customHeight="1">
      <c r="B1413" s="548"/>
      <c r="C1413" s="549"/>
    </row>
    <row r="1414" spans="2:3" ht="15" customHeight="1">
      <c r="B1414" s="548"/>
      <c r="C1414" s="549"/>
    </row>
    <row r="1415" spans="2:3" ht="15" customHeight="1">
      <c r="B1415" s="548"/>
      <c r="C1415" s="549"/>
    </row>
    <row r="1416" spans="2:3" ht="15" customHeight="1">
      <c r="B1416" s="548"/>
      <c r="C1416" s="549"/>
    </row>
    <row r="1417" spans="2:3" ht="15" customHeight="1">
      <c r="B1417" s="548"/>
      <c r="C1417" s="549"/>
    </row>
    <row r="1418" spans="2:3" ht="15" customHeight="1">
      <c r="B1418" s="548"/>
      <c r="C1418" s="549"/>
    </row>
    <row r="1419" spans="2:3" ht="15" customHeight="1">
      <c r="B1419" s="548"/>
      <c r="C1419" s="549"/>
    </row>
    <row r="1420" spans="2:3" ht="15" customHeight="1">
      <c r="B1420" s="548"/>
      <c r="C1420" s="549"/>
    </row>
    <row r="1421" spans="2:3" ht="15" customHeight="1">
      <c r="B1421" s="548"/>
      <c r="C1421" s="549"/>
    </row>
    <row r="1422" spans="2:3" ht="15" customHeight="1">
      <c r="B1422" s="548"/>
      <c r="C1422" s="549"/>
    </row>
    <row r="1423" spans="2:3" ht="15" customHeight="1">
      <c r="B1423" s="548"/>
      <c r="C1423" s="549"/>
    </row>
    <row r="1424" spans="2:3" ht="15" customHeight="1">
      <c r="B1424" s="548"/>
      <c r="C1424" s="549"/>
    </row>
    <row r="1425" spans="2:3" ht="15" customHeight="1">
      <c r="B1425" s="548"/>
      <c r="C1425" s="549"/>
    </row>
    <row r="1426" spans="2:3" ht="15" customHeight="1">
      <c r="B1426" s="548"/>
      <c r="C1426" s="549"/>
    </row>
    <row r="1427" spans="2:3" ht="15" customHeight="1">
      <c r="B1427" s="548"/>
      <c r="C1427" s="549"/>
    </row>
    <row r="1428" spans="2:3" ht="15" customHeight="1">
      <c r="B1428" s="548"/>
      <c r="C1428" s="549"/>
    </row>
    <row r="1429" spans="2:3" ht="15" customHeight="1">
      <c r="B1429" s="548"/>
      <c r="C1429" s="549"/>
    </row>
    <row r="1430" spans="2:3" ht="15" customHeight="1">
      <c r="B1430" s="548"/>
      <c r="C1430" s="549"/>
    </row>
    <row r="1431" spans="2:3" ht="15" customHeight="1">
      <c r="B1431" s="548"/>
      <c r="C1431" s="549"/>
    </row>
    <row r="1432" spans="2:3" ht="15" customHeight="1">
      <c r="B1432" s="548"/>
      <c r="C1432" s="549"/>
    </row>
    <row r="1433" spans="2:3" ht="15" customHeight="1">
      <c r="B1433" s="548"/>
      <c r="C1433" s="549"/>
    </row>
    <row r="1434" spans="2:3" ht="15" customHeight="1">
      <c r="B1434" s="548"/>
      <c r="C1434" s="549"/>
    </row>
    <row r="1435" spans="2:3" ht="15" customHeight="1">
      <c r="B1435" s="548"/>
      <c r="C1435" s="549"/>
    </row>
    <row r="1436" spans="2:3" ht="15" customHeight="1">
      <c r="B1436" s="548"/>
      <c r="C1436" s="549"/>
    </row>
    <row r="1437" spans="2:3" ht="15" customHeight="1">
      <c r="B1437" s="548"/>
      <c r="C1437" s="549"/>
    </row>
    <row r="1438" spans="2:3" ht="15" customHeight="1">
      <c r="B1438" s="548"/>
      <c r="C1438" s="549"/>
    </row>
    <row r="1439" spans="2:3" ht="15" customHeight="1">
      <c r="B1439" s="548"/>
      <c r="C1439" s="549"/>
    </row>
    <row r="1440" spans="2:3" ht="15" customHeight="1">
      <c r="B1440" s="548"/>
      <c r="C1440" s="549"/>
    </row>
    <row r="1441" spans="2:3" ht="15" customHeight="1">
      <c r="B1441" s="548"/>
      <c r="C1441" s="549"/>
    </row>
    <row r="1442" spans="2:3" ht="15" customHeight="1">
      <c r="B1442" s="548"/>
      <c r="C1442" s="549"/>
    </row>
    <row r="1443" spans="2:3" ht="15" customHeight="1">
      <c r="B1443" s="548"/>
      <c r="C1443" s="549"/>
    </row>
    <row r="1444" spans="2:3" ht="15" customHeight="1">
      <c r="B1444" s="548"/>
      <c r="C1444" s="549"/>
    </row>
    <row r="1445" spans="2:3" ht="15" customHeight="1">
      <c r="B1445" s="548"/>
      <c r="C1445" s="549"/>
    </row>
    <row r="1446" spans="2:3" ht="15" customHeight="1">
      <c r="B1446" s="548"/>
      <c r="C1446" s="549"/>
    </row>
    <row r="1447" spans="2:3" ht="15" customHeight="1">
      <c r="B1447" s="548"/>
      <c r="C1447" s="549"/>
    </row>
    <row r="1448" spans="2:3" ht="15" customHeight="1">
      <c r="B1448" s="548"/>
      <c r="C1448" s="549"/>
    </row>
    <row r="1449" spans="2:3" ht="15" customHeight="1">
      <c r="B1449" s="548"/>
      <c r="C1449" s="549"/>
    </row>
    <row r="1450" spans="2:3" ht="15" customHeight="1">
      <c r="B1450" s="548"/>
      <c r="C1450" s="549"/>
    </row>
    <row r="1451" spans="2:3" ht="15" customHeight="1">
      <c r="B1451" s="548"/>
      <c r="C1451" s="549"/>
    </row>
    <row r="1452" spans="2:3" ht="15" customHeight="1">
      <c r="B1452" s="548"/>
      <c r="C1452" s="549"/>
    </row>
    <row r="1453" spans="2:3" ht="15" customHeight="1">
      <c r="B1453" s="548"/>
      <c r="C1453" s="549"/>
    </row>
    <row r="1454" spans="2:3" ht="15" customHeight="1">
      <c r="B1454" s="548"/>
      <c r="C1454" s="549"/>
    </row>
    <row r="1455" spans="2:3" ht="15" customHeight="1">
      <c r="B1455" s="548"/>
      <c r="C1455" s="549"/>
    </row>
    <row r="1456" spans="2:3" ht="15" customHeight="1">
      <c r="B1456" s="548"/>
      <c r="C1456" s="549"/>
    </row>
    <row r="1457" spans="2:3" ht="15" customHeight="1">
      <c r="B1457" s="548"/>
      <c r="C1457" s="549"/>
    </row>
    <row r="1458" spans="2:3" ht="15" customHeight="1">
      <c r="B1458" s="548"/>
      <c r="C1458" s="549"/>
    </row>
    <row r="1459" spans="2:3" ht="15" customHeight="1">
      <c r="B1459" s="548"/>
      <c r="C1459" s="549"/>
    </row>
    <row r="1460" spans="2:3" ht="15" customHeight="1">
      <c r="B1460" s="548"/>
      <c r="C1460" s="549"/>
    </row>
    <row r="1461" spans="2:3" ht="15" customHeight="1">
      <c r="B1461" s="548"/>
      <c r="C1461" s="549"/>
    </row>
    <row r="1462" spans="2:3" ht="15" customHeight="1">
      <c r="B1462" s="548"/>
      <c r="C1462" s="549"/>
    </row>
    <row r="1463" spans="2:3" ht="15" customHeight="1">
      <c r="B1463" s="548"/>
      <c r="C1463" s="549"/>
    </row>
    <row r="1464" spans="2:3" ht="15" customHeight="1">
      <c r="B1464" s="548"/>
      <c r="C1464" s="549"/>
    </row>
    <row r="1465" spans="2:3" ht="15" customHeight="1">
      <c r="B1465" s="548"/>
      <c r="C1465" s="549"/>
    </row>
    <row r="1466" spans="2:3" ht="15" customHeight="1">
      <c r="B1466" s="548"/>
      <c r="C1466" s="549"/>
    </row>
    <row r="1467" spans="2:3" ht="15" customHeight="1">
      <c r="B1467" s="548"/>
      <c r="C1467" s="549"/>
    </row>
    <row r="1468" spans="2:3" ht="15" customHeight="1">
      <c r="B1468" s="548"/>
      <c r="C1468" s="549"/>
    </row>
    <row r="1469" spans="2:3" ht="15" customHeight="1">
      <c r="B1469" s="548"/>
      <c r="C1469" s="549"/>
    </row>
    <row r="1470" spans="2:3" ht="15" customHeight="1">
      <c r="B1470" s="548"/>
      <c r="C1470" s="549"/>
    </row>
    <row r="1471" spans="2:3" ht="15" customHeight="1">
      <c r="B1471" s="548"/>
      <c r="C1471" s="549"/>
    </row>
    <row r="1472" spans="2:3" ht="15" customHeight="1">
      <c r="B1472" s="548"/>
      <c r="C1472" s="549"/>
    </row>
    <row r="1473" spans="2:3" ht="15" customHeight="1">
      <c r="B1473" s="548"/>
      <c r="C1473" s="549"/>
    </row>
    <row r="1474" spans="2:3" ht="15" customHeight="1">
      <c r="B1474" s="548"/>
      <c r="C1474" s="549"/>
    </row>
    <row r="1475" spans="2:3" ht="15" customHeight="1">
      <c r="B1475" s="548"/>
      <c r="C1475" s="549"/>
    </row>
    <row r="1476" spans="2:3" ht="15" customHeight="1">
      <c r="B1476" s="548"/>
      <c r="C1476" s="549"/>
    </row>
    <row r="1477" spans="2:3" ht="15" customHeight="1">
      <c r="B1477" s="548"/>
      <c r="C1477" s="549"/>
    </row>
    <row r="1478" spans="2:3" ht="15" customHeight="1">
      <c r="B1478" s="548"/>
      <c r="C1478" s="549"/>
    </row>
    <row r="1479" spans="2:3" ht="15" customHeight="1">
      <c r="B1479" s="548"/>
      <c r="C1479" s="549"/>
    </row>
    <row r="1480" spans="2:3" ht="15" customHeight="1">
      <c r="B1480" s="548"/>
      <c r="C1480" s="549"/>
    </row>
    <row r="1481" spans="2:3" ht="15" customHeight="1">
      <c r="B1481" s="548"/>
      <c r="C1481" s="549"/>
    </row>
    <row r="1482" spans="2:3" ht="15" customHeight="1">
      <c r="B1482" s="548"/>
      <c r="C1482" s="549"/>
    </row>
    <row r="1483" spans="2:3" ht="15" customHeight="1">
      <c r="B1483" s="548"/>
      <c r="C1483" s="549"/>
    </row>
    <row r="1484" spans="2:3" ht="15" customHeight="1">
      <c r="B1484" s="548"/>
      <c r="C1484" s="549"/>
    </row>
    <row r="1485" spans="2:3" ht="15" customHeight="1">
      <c r="B1485" s="548"/>
      <c r="C1485" s="549"/>
    </row>
    <row r="1486" spans="2:3" ht="15" customHeight="1">
      <c r="B1486" s="548"/>
      <c r="C1486" s="549"/>
    </row>
    <row r="1487" spans="2:3" ht="15" customHeight="1">
      <c r="B1487" s="548"/>
      <c r="C1487" s="549"/>
    </row>
    <row r="1488" spans="2:3" ht="15" customHeight="1">
      <c r="B1488" s="548"/>
      <c r="C1488" s="549"/>
    </row>
    <row r="1489" spans="2:3" ht="15" customHeight="1">
      <c r="B1489" s="548"/>
      <c r="C1489" s="549"/>
    </row>
    <row r="1490" spans="2:3" ht="15" customHeight="1">
      <c r="B1490" s="548"/>
      <c r="C1490" s="549"/>
    </row>
    <row r="1491" spans="2:3" ht="15" customHeight="1">
      <c r="B1491" s="548"/>
      <c r="C1491" s="549"/>
    </row>
    <row r="1492" spans="2:3" ht="15" customHeight="1">
      <c r="B1492" s="548"/>
      <c r="C1492" s="549"/>
    </row>
    <row r="1493" spans="2:3" ht="15" customHeight="1">
      <c r="B1493" s="548"/>
      <c r="C1493" s="549"/>
    </row>
    <row r="1494" spans="2:3" ht="15" customHeight="1">
      <c r="B1494" s="548"/>
      <c r="C1494" s="549"/>
    </row>
    <row r="1495" spans="2:3" ht="15" customHeight="1">
      <c r="B1495" s="548"/>
      <c r="C1495" s="549"/>
    </row>
    <row r="1496" spans="2:3" ht="15" customHeight="1">
      <c r="B1496" s="548"/>
      <c r="C1496" s="549"/>
    </row>
    <row r="1497" spans="2:3" ht="15" customHeight="1">
      <c r="B1497" s="548"/>
      <c r="C1497" s="549"/>
    </row>
    <row r="1498" spans="2:3" ht="15" customHeight="1">
      <c r="B1498" s="548"/>
      <c r="C1498" s="549"/>
    </row>
    <row r="1499" spans="2:3" ht="15" customHeight="1">
      <c r="B1499" s="548"/>
      <c r="C1499" s="549"/>
    </row>
    <row r="1500" spans="2:3" ht="15" customHeight="1">
      <c r="B1500" s="548"/>
      <c r="C1500" s="549"/>
    </row>
    <row r="1501" spans="2:3" ht="15" customHeight="1">
      <c r="B1501" s="548"/>
      <c r="C1501" s="549"/>
    </row>
    <row r="1502" spans="2:3" ht="15" customHeight="1">
      <c r="B1502" s="548"/>
      <c r="C1502" s="549"/>
    </row>
    <row r="1503" spans="2:3" ht="15" customHeight="1">
      <c r="B1503" s="548"/>
      <c r="C1503" s="549"/>
    </row>
    <row r="1504" spans="2:3" ht="15" customHeight="1">
      <c r="B1504" s="548"/>
      <c r="C1504" s="549"/>
    </row>
    <row r="1505" spans="2:3" ht="15" customHeight="1">
      <c r="B1505" s="548"/>
      <c r="C1505" s="549"/>
    </row>
    <row r="1506" spans="2:3" ht="15" customHeight="1">
      <c r="B1506" s="548"/>
      <c r="C1506" s="549"/>
    </row>
    <row r="1507" spans="2:3" ht="15" customHeight="1">
      <c r="B1507" s="548"/>
      <c r="C1507" s="549"/>
    </row>
    <row r="1508" spans="2:3" ht="15" customHeight="1">
      <c r="B1508" s="548"/>
      <c r="C1508" s="549"/>
    </row>
    <row r="1509" spans="2:3" ht="15" customHeight="1">
      <c r="B1509" s="548"/>
      <c r="C1509" s="549"/>
    </row>
    <row r="1510" spans="2:3" ht="15" customHeight="1">
      <c r="B1510" s="548"/>
      <c r="C1510" s="549"/>
    </row>
    <row r="1511" spans="2:3" ht="15" customHeight="1">
      <c r="B1511" s="548"/>
      <c r="C1511" s="549"/>
    </row>
    <row r="1512" spans="2:3" ht="15" customHeight="1">
      <c r="B1512" s="548"/>
      <c r="C1512" s="549"/>
    </row>
    <row r="1513" spans="2:3" ht="15" customHeight="1">
      <c r="B1513" s="548"/>
      <c r="C1513" s="549"/>
    </row>
    <row r="1514" spans="2:3" ht="15" customHeight="1">
      <c r="B1514" s="548"/>
      <c r="C1514" s="549"/>
    </row>
    <row r="1515" spans="2:3" ht="15" customHeight="1">
      <c r="B1515" s="548"/>
      <c r="C1515" s="549"/>
    </row>
    <row r="1516" spans="2:3" ht="15" customHeight="1">
      <c r="B1516" s="548"/>
      <c r="C1516" s="549"/>
    </row>
    <row r="1517" spans="2:3" ht="15" customHeight="1">
      <c r="B1517" s="548"/>
      <c r="C1517" s="549"/>
    </row>
    <row r="1518" spans="2:3" ht="15" customHeight="1">
      <c r="B1518" s="548"/>
      <c r="C1518" s="549"/>
    </row>
    <row r="1519" spans="2:3" ht="15" customHeight="1">
      <c r="B1519" s="548"/>
      <c r="C1519" s="549"/>
    </row>
    <row r="1520" spans="2:3" ht="15" customHeight="1">
      <c r="B1520" s="548"/>
      <c r="C1520" s="549"/>
    </row>
    <row r="1521" spans="2:3" ht="15" customHeight="1">
      <c r="B1521" s="548"/>
      <c r="C1521" s="549"/>
    </row>
    <row r="1522" spans="2:3" ht="15" customHeight="1">
      <c r="B1522" s="548"/>
      <c r="C1522" s="549"/>
    </row>
    <row r="1523" spans="2:3" ht="15" customHeight="1">
      <c r="B1523" s="548"/>
      <c r="C1523" s="549"/>
    </row>
    <row r="1524" spans="2:3" ht="15" customHeight="1">
      <c r="B1524" s="548"/>
      <c r="C1524" s="549"/>
    </row>
    <row r="1525" spans="2:3" ht="15" customHeight="1">
      <c r="B1525" s="548"/>
      <c r="C1525" s="549"/>
    </row>
    <row r="1526" spans="2:3" ht="15" customHeight="1">
      <c r="B1526" s="548"/>
      <c r="C1526" s="549"/>
    </row>
    <row r="1527" spans="2:3" ht="15" customHeight="1">
      <c r="B1527" s="548"/>
      <c r="C1527" s="549"/>
    </row>
    <row r="1528" spans="2:3" ht="15" customHeight="1">
      <c r="B1528" s="548"/>
      <c r="C1528" s="549"/>
    </row>
    <row r="1529" spans="2:3" ht="15" customHeight="1">
      <c r="B1529" s="548"/>
      <c r="C1529" s="549"/>
    </row>
    <row r="1530" spans="2:3" ht="15" customHeight="1">
      <c r="B1530" s="548"/>
      <c r="C1530" s="549"/>
    </row>
    <row r="1531" spans="2:3" ht="15" customHeight="1">
      <c r="B1531" s="548"/>
      <c r="C1531" s="549"/>
    </row>
    <row r="1532" spans="2:3" ht="15" customHeight="1">
      <c r="B1532" s="548"/>
      <c r="C1532" s="549"/>
    </row>
    <row r="1533" spans="2:3" ht="15" customHeight="1">
      <c r="B1533" s="548"/>
      <c r="C1533" s="549"/>
    </row>
    <row r="1534" spans="2:3" ht="15" customHeight="1">
      <c r="B1534" s="548"/>
      <c r="C1534" s="549"/>
    </row>
    <row r="1535" spans="2:3" ht="15" customHeight="1">
      <c r="B1535" s="548"/>
      <c r="C1535" s="549"/>
    </row>
    <row r="1536" spans="2:3" ht="15" customHeight="1">
      <c r="B1536" s="548"/>
      <c r="C1536" s="549"/>
    </row>
    <row r="1537" spans="2:3" ht="15" customHeight="1">
      <c r="B1537" s="548"/>
      <c r="C1537" s="549"/>
    </row>
    <row r="1538" spans="2:3" ht="15" customHeight="1">
      <c r="B1538" s="548"/>
      <c r="C1538" s="549"/>
    </row>
    <row r="1539" spans="2:3" ht="15" customHeight="1">
      <c r="B1539" s="548"/>
      <c r="C1539" s="549"/>
    </row>
    <row r="1540" spans="2:3" ht="15" customHeight="1">
      <c r="B1540" s="548"/>
      <c r="C1540" s="549"/>
    </row>
    <row r="1541" spans="2:3" ht="15" customHeight="1">
      <c r="B1541" s="548"/>
      <c r="C1541" s="549"/>
    </row>
    <row r="1542" spans="2:3" ht="15" customHeight="1">
      <c r="B1542" s="548"/>
      <c r="C1542" s="549"/>
    </row>
    <row r="1543" spans="2:3" ht="15" customHeight="1">
      <c r="B1543" s="548"/>
      <c r="C1543" s="549"/>
    </row>
    <row r="1544" spans="2:3" ht="15" customHeight="1">
      <c r="B1544" s="548"/>
      <c r="C1544" s="549"/>
    </row>
    <row r="1545" spans="2:3" ht="15" customHeight="1">
      <c r="B1545" s="548"/>
      <c r="C1545" s="549"/>
    </row>
    <row r="1546" spans="2:3" ht="15" customHeight="1">
      <c r="B1546" s="548"/>
      <c r="C1546" s="549"/>
    </row>
    <row r="1547" spans="2:3" ht="15" customHeight="1">
      <c r="B1547" s="548"/>
      <c r="C1547" s="549"/>
    </row>
    <row r="1548" spans="2:3" ht="15" customHeight="1">
      <c r="B1548" s="548"/>
      <c r="C1548" s="549"/>
    </row>
    <row r="1549" spans="2:3" ht="15" customHeight="1">
      <c r="B1549" s="548"/>
      <c r="C1549" s="549"/>
    </row>
    <row r="1550" spans="2:3" ht="15" customHeight="1">
      <c r="B1550" s="548"/>
      <c r="C1550" s="549"/>
    </row>
    <row r="1551" spans="2:3" ht="15" customHeight="1">
      <c r="B1551" s="548"/>
      <c r="C1551" s="549"/>
    </row>
    <row r="1552" spans="2:3" ht="15" customHeight="1">
      <c r="B1552" s="548"/>
      <c r="C1552" s="549"/>
    </row>
    <row r="1553" spans="2:3" ht="15" customHeight="1">
      <c r="B1553" s="548"/>
      <c r="C1553" s="549"/>
    </row>
    <row r="1554" spans="2:3" ht="15" customHeight="1">
      <c r="B1554" s="548"/>
      <c r="C1554" s="549"/>
    </row>
    <row r="1555" spans="2:3" ht="15" customHeight="1">
      <c r="B1555" s="548"/>
      <c r="C1555" s="549"/>
    </row>
    <row r="1556" spans="2:3" ht="15" customHeight="1">
      <c r="B1556" s="548"/>
      <c r="C1556" s="549"/>
    </row>
    <row r="1557" spans="2:3" ht="15" customHeight="1">
      <c r="B1557" s="548"/>
      <c r="C1557" s="549"/>
    </row>
    <row r="1558" spans="2:3" ht="15" customHeight="1">
      <c r="B1558" s="548"/>
      <c r="C1558" s="549"/>
    </row>
    <row r="1559" spans="2:3" ht="15" customHeight="1">
      <c r="B1559" s="548"/>
      <c r="C1559" s="549"/>
    </row>
    <row r="1560" spans="2:3" ht="15" customHeight="1">
      <c r="B1560" s="548"/>
      <c r="C1560" s="549"/>
    </row>
    <row r="1561" spans="2:3" ht="15" customHeight="1">
      <c r="B1561" s="548"/>
      <c r="C1561" s="549"/>
    </row>
    <row r="1562" spans="2:3" ht="15" customHeight="1">
      <c r="B1562" s="548"/>
      <c r="C1562" s="549"/>
    </row>
    <row r="1563" spans="2:3" ht="15" customHeight="1">
      <c r="B1563" s="548"/>
      <c r="C1563" s="549"/>
    </row>
    <row r="1564" spans="2:3" ht="15" customHeight="1">
      <c r="B1564" s="548"/>
      <c r="C1564" s="549"/>
    </row>
    <row r="1565" spans="2:3" ht="15" customHeight="1">
      <c r="B1565" s="548"/>
      <c r="C1565" s="549"/>
    </row>
    <row r="1566" spans="2:3" ht="15" customHeight="1">
      <c r="B1566" s="548"/>
      <c r="C1566" s="549"/>
    </row>
    <row r="1567" spans="2:3" ht="15" customHeight="1">
      <c r="B1567" s="548"/>
      <c r="C1567" s="549"/>
    </row>
    <row r="1568" spans="2:3" ht="15" customHeight="1">
      <c r="B1568" s="548"/>
      <c r="C1568" s="549"/>
    </row>
    <row r="1569" spans="2:3" ht="15" customHeight="1">
      <c r="B1569" s="548"/>
      <c r="C1569" s="549"/>
    </row>
    <row r="1570" spans="2:3" ht="15" customHeight="1">
      <c r="B1570" s="548"/>
      <c r="C1570" s="549"/>
    </row>
    <row r="1571" spans="2:3" ht="15" customHeight="1">
      <c r="B1571" s="548"/>
      <c r="C1571" s="549"/>
    </row>
    <row r="1572" spans="2:3" ht="15" customHeight="1">
      <c r="B1572" s="548"/>
      <c r="C1572" s="549"/>
    </row>
    <row r="1573" spans="2:3" ht="15" customHeight="1">
      <c r="B1573" s="548"/>
      <c r="C1573" s="549"/>
    </row>
    <row r="1574" spans="2:3" ht="15" customHeight="1">
      <c r="B1574" s="548"/>
      <c r="C1574" s="549"/>
    </row>
    <row r="1575" spans="2:3" ht="15" customHeight="1">
      <c r="B1575" s="548"/>
      <c r="C1575" s="549"/>
    </row>
    <row r="1576" spans="2:3" ht="15" customHeight="1">
      <c r="B1576" s="548"/>
      <c r="C1576" s="549"/>
    </row>
    <row r="1577" spans="2:3" ht="15" customHeight="1">
      <c r="B1577" s="548"/>
      <c r="C1577" s="549"/>
    </row>
    <row r="1578" spans="2:3" ht="15" customHeight="1">
      <c r="B1578" s="548"/>
      <c r="C1578" s="549"/>
    </row>
    <row r="1579" spans="2:3" ht="15" customHeight="1">
      <c r="B1579" s="548"/>
      <c r="C1579" s="549"/>
    </row>
    <row r="1580" spans="2:3" ht="15" customHeight="1">
      <c r="B1580" s="548"/>
      <c r="C1580" s="549"/>
    </row>
    <row r="1581" spans="2:3" ht="15" customHeight="1">
      <c r="B1581" s="548"/>
      <c r="C1581" s="549"/>
    </row>
    <row r="1582" spans="2:3" ht="15" customHeight="1">
      <c r="B1582" s="548"/>
      <c r="C1582" s="549"/>
    </row>
    <row r="1583" spans="2:3" ht="15" customHeight="1">
      <c r="B1583" s="548"/>
      <c r="C1583" s="549"/>
    </row>
    <row r="1584" spans="2:3" ht="15" customHeight="1">
      <c r="B1584" s="548"/>
      <c r="C1584" s="549"/>
    </row>
    <row r="1585" spans="2:3" ht="15" customHeight="1">
      <c r="B1585" s="548"/>
      <c r="C1585" s="549"/>
    </row>
    <row r="1586" spans="2:3" ht="15" customHeight="1">
      <c r="B1586" s="548"/>
      <c r="C1586" s="549"/>
    </row>
    <row r="1587" spans="2:3" ht="15" customHeight="1">
      <c r="B1587" s="548"/>
      <c r="C1587" s="549"/>
    </row>
    <row r="1588" spans="2:3" ht="15" customHeight="1">
      <c r="B1588" s="548"/>
      <c r="C1588" s="549"/>
    </row>
    <row r="1589" spans="2:3" ht="15" customHeight="1">
      <c r="B1589" s="548"/>
      <c r="C1589" s="549"/>
    </row>
    <row r="1590" spans="2:3" ht="15" customHeight="1">
      <c r="B1590" s="548"/>
      <c r="C1590" s="549"/>
    </row>
    <row r="1591" spans="2:3" ht="15" customHeight="1">
      <c r="B1591" s="548"/>
      <c r="C1591" s="549"/>
    </row>
    <row r="1592" spans="2:3" ht="15" customHeight="1">
      <c r="B1592" s="548"/>
      <c r="C1592" s="549"/>
    </row>
    <row r="1593" spans="2:3" ht="15" customHeight="1">
      <c r="B1593" s="548"/>
      <c r="C1593" s="549"/>
    </row>
    <row r="1594" spans="2:3" ht="15" customHeight="1">
      <c r="B1594" s="548"/>
      <c r="C1594" s="549"/>
    </row>
    <row r="1595" spans="2:3" ht="15" customHeight="1">
      <c r="B1595" s="548"/>
      <c r="C1595" s="549"/>
    </row>
    <row r="1596" spans="2:3" ht="15" customHeight="1">
      <c r="B1596" s="548"/>
      <c r="C1596" s="549"/>
    </row>
    <row r="1597" spans="2:3" ht="15" customHeight="1">
      <c r="B1597" s="548"/>
      <c r="C1597" s="549"/>
    </row>
    <row r="1598" spans="2:3" ht="15" customHeight="1">
      <c r="B1598" s="548"/>
      <c r="C1598" s="549"/>
    </row>
    <row r="1599" spans="2:3" ht="15" customHeight="1">
      <c r="B1599" s="548"/>
      <c r="C1599" s="549"/>
    </row>
    <row r="1600" spans="2:3" ht="15" customHeight="1">
      <c r="B1600" s="548"/>
      <c r="C1600" s="549"/>
    </row>
    <row r="1601" spans="2:3" ht="15" customHeight="1">
      <c r="B1601" s="548"/>
      <c r="C1601" s="549"/>
    </row>
    <row r="1602" spans="2:3" ht="15" customHeight="1">
      <c r="B1602" s="548"/>
      <c r="C1602" s="549"/>
    </row>
    <row r="1603" spans="2:3" ht="15" customHeight="1">
      <c r="B1603" s="548"/>
      <c r="C1603" s="549"/>
    </row>
    <row r="1604" spans="2:3" ht="15" customHeight="1">
      <c r="B1604" s="548"/>
      <c r="C1604" s="549"/>
    </row>
    <row r="1605" spans="2:3" ht="15" customHeight="1">
      <c r="B1605" s="548"/>
      <c r="C1605" s="549"/>
    </row>
    <row r="1606" spans="2:3" ht="15" customHeight="1">
      <c r="B1606" s="548"/>
      <c r="C1606" s="549"/>
    </row>
    <row r="1607" spans="2:3" ht="15" customHeight="1">
      <c r="B1607" s="548"/>
      <c r="C1607" s="549"/>
    </row>
    <row r="1608" spans="2:3" ht="15" customHeight="1">
      <c r="B1608" s="548"/>
      <c r="C1608" s="549"/>
    </row>
    <row r="1609" spans="2:3" ht="15" customHeight="1">
      <c r="B1609" s="548"/>
      <c r="C1609" s="549"/>
    </row>
    <row r="1610" spans="2:3" ht="15" customHeight="1">
      <c r="B1610" s="548"/>
      <c r="C1610" s="549"/>
    </row>
    <row r="1611" spans="2:3" ht="15" customHeight="1">
      <c r="B1611" s="548"/>
      <c r="C1611" s="549"/>
    </row>
    <row r="1612" spans="2:3" ht="15" customHeight="1">
      <c r="B1612" s="548"/>
      <c r="C1612" s="549"/>
    </row>
    <row r="1613" spans="2:3" ht="15" customHeight="1">
      <c r="B1613" s="548"/>
      <c r="C1613" s="549"/>
    </row>
    <row r="1614" spans="2:3" ht="15" customHeight="1">
      <c r="B1614" s="548"/>
      <c r="C1614" s="549"/>
    </row>
    <row r="1615" spans="2:3" ht="15" customHeight="1">
      <c r="B1615" s="548"/>
      <c r="C1615" s="549"/>
    </row>
    <row r="1616" spans="2:3" ht="15" customHeight="1">
      <c r="B1616" s="548"/>
      <c r="C1616" s="549"/>
    </row>
    <row r="1617" spans="2:3" ht="15" customHeight="1">
      <c r="B1617" s="548"/>
      <c r="C1617" s="549"/>
    </row>
    <row r="1618" spans="2:3" ht="15" customHeight="1">
      <c r="B1618" s="548"/>
      <c r="C1618" s="549"/>
    </row>
    <row r="1619" spans="2:3" ht="15" customHeight="1">
      <c r="B1619" s="548"/>
      <c r="C1619" s="549"/>
    </row>
    <row r="1620" spans="2:3" ht="15" customHeight="1">
      <c r="B1620" s="548"/>
      <c r="C1620" s="549"/>
    </row>
    <row r="1621" spans="2:3" ht="15" customHeight="1">
      <c r="B1621" s="548"/>
      <c r="C1621" s="549"/>
    </row>
    <row r="1622" spans="2:3" ht="15" customHeight="1">
      <c r="B1622" s="548"/>
      <c r="C1622" s="549"/>
    </row>
    <row r="1623" spans="2:3" ht="15" customHeight="1">
      <c r="B1623" s="548"/>
      <c r="C1623" s="549"/>
    </row>
    <row r="1624" spans="2:3" ht="15" customHeight="1">
      <c r="B1624" s="548"/>
      <c r="C1624" s="549"/>
    </row>
    <row r="1625" spans="2:3" ht="15" customHeight="1">
      <c r="B1625" s="548"/>
      <c r="C1625" s="549"/>
    </row>
    <row r="1626" spans="2:3" ht="15" customHeight="1">
      <c r="B1626" s="548"/>
      <c r="C1626" s="549"/>
    </row>
    <row r="1627" spans="2:3" ht="15" customHeight="1">
      <c r="B1627" s="548"/>
      <c r="C1627" s="549"/>
    </row>
    <row r="1628" spans="2:3" ht="15" customHeight="1">
      <c r="B1628" s="548"/>
      <c r="C1628" s="549"/>
    </row>
    <row r="1629" spans="2:3" ht="15" customHeight="1">
      <c r="B1629" s="548"/>
      <c r="C1629" s="549"/>
    </row>
    <row r="1630" spans="2:3" ht="15" customHeight="1">
      <c r="B1630" s="548"/>
      <c r="C1630" s="549"/>
    </row>
    <row r="1631" spans="2:3" ht="15" customHeight="1">
      <c r="B1631" s="548"/>
      <c r="C1631" s="549"/>
    </row>
    <row r="1632" spans="2:3" ht="15" customHeight="1">
      <c r="B1632" s="548"/>
      <c r="C1632" s="549"/>
    </row>
    <row r="1633" spans="2:3" ht="15" customHeight="1">
      <c r="B1633" s="548"/>
      <c r="C1633" s="549"/>
    </row>
    <row r="1634" spans="2:3" ht="15" customHeight="1">
      <c r="B1634" s="548"/>
      <c r="C1634" s="549"/>
    </row>
    <row r="1635" spans="2:3" ht="15" customHeight="1">
      <c r="B1635" s="548"/>
      <c r="C1635" s="549"/>
    </row>
    <row r="1636" spans="2:3" ht="15" customHeight="1">
      <c r="B1636" s="548"/>
      <c r="C1636" s="549"/>
    </row>
    <row r="1637" spans="2:3" ht="15" customHeight="1">
      <c r="B1637" s="548"/>
      <c r="C1637" s="549"/>
    </row>
    <row r="1638" spans="2:3" ht="15" customHeight="1">
      <c r="B1638" s="548"/>
      <c r="C1638" s="549"/>
    </row>
    <row r="1639" spans="2:3" ht="15" customHeight="1">
      <c r="B1639" s="548"/>
      <c r="C1639" s="549"/>
    </row>
    <row r="1640" spans="2:3" ht="15" customHeight="1">
      <c r="B1640" s="548"/>
      <c r="C1640" s="549"/>
    </row>
    <row r="1641" spans="2:3" ht="15" customHeight="1">
      <c r="B1641" s="548"/>
      <c r="C1641" s="549"/>
    </row>
    <row r="1642" spans="2:3" ht="15" customHeight="1">
      <c r="B1642" s="548"/>
      <c r="C1642" s="549"/>
    </row>
    <row r="1643" spans="2:3" ht="15" customHeight="1">
      <c r="B1643" s="548"/>
      <c r="C1643" s="549"/>
    </row>
    <row r="1644" spans="2:3" ht="15" customHeight="1">
      <c r="B1644" s="548"/>
      <c r="C1644" s="549"/>
    </row>
    <row r="1645" spans="2:3" ht="15" customHeight="1">
      <c r="B1645" s="548"/>
      <c r="C1645" s="549"/>
    </row>
    <row r="1646" spans="2:3" ht="15" customHeight="1">
      <c r="B1646" s="548"/>
      <c r="C1646" s="549"/>
    </row>
    <row r="1647" spans="2:3" ht="15" customHeight="1">
      <c r="B1647" s="548"/>
      <c r="C1647" s="549"/>
    </row>
    <row r="1648" spans="2:3" ht="15" customHeight="1">
      <c r="B1648" s="548"/>
      <c r="C1648" s="549"/>
    </row>
    <row r="1649" spans="2:3" ht="15" customHeight="1">
      <c r="B1649" s="548"/>
      <c r="C1649" s="549"/>
    </row>
    <row r="1650" spans="2:3" ht="15" customHeight="1">
      <c r="B1650" s="548"/>
      <c r="C1650" s="549"/>
    </row>
    <row r="1651" spans="2:3" ht="15" customHeight="1">
      <c r="B1651" s="548"/>
      <c r="C1651" s="549"/>
    </row>
    <row r="1652" spans="2:3" ht="15" customHeight="1">
      <c r="B1652" s="548"/>
      <c r="C1652" s="549"/>
    </row>
    <row r="1653" spans="2:3" ht="15" customHeight="1">
      <c r="B1653" s="548"/>
      <c r="C1653" s="549"/>
    </row>
    <row r="1654" spans="2:3" ht="15" customHeight="1">
      <c r="B1654" s="548"/>
      <c r="C1654" s="549"/>
    </row>
    <row r="1655" spans="2:3" ht="15" customHeight="1">
      <c r="B1655" s="548"/>
      <c r="C1655" s="549"/>
    </row>
    <row r="1656" spans="2:3" ht="15" customHeight="1">
      <c r="B1656" s="548"/>
      <c r="C1656" s="549"/>
    </row>
    <row r="1657" spans="2:3" ht="15" customHeight="1">
      <c r="B1657" s="548"/>
      <c r="C1657" s="549"/>
    </row>
    <row r="1658" spans="2:3" ht="15" customHeight="1">
      <c r="B1658" s="548"/>
      <c r="C1658" s="549"/>
    </row>
    <row r="1659" spans="2:3" ht="15" customHeight="1">
      <c r="B1659" s="548"/>
      <c r="C1659" s="549"/>
    </row>
    <row r="1660" spans="2:3" ht="15" customHeight="1">
      <c r="B1660" s="548"/>
      <c r="C1660" s="549"/>
    </row>
    <row r="1661" spans="2:3" ht="15" customHeight="1">
      <c r="B1661" s="548"/>
      <c r="C1661" s="549"/>
    </row>
    <row r="1662" spans="2:3" ht="15" customHeight="1">
      <c r="B1662" s="548"/>
      <c r="C1662" s="549"/>
    </row>
    <row r="1663" spans="2:3" ht="15" customHeight="1">
      <c r="B1663" s="548"/>
      <c r="C1663" s="549"/>
    </row>
    <row r="1664" spans="2:3" ht="15" customHeight="1">
      <c r="B1664" s="548"/>
      <c r="C1664" s="549"/>
    </row>
    <row r="1665" spans="2:3" ht="15" customHeight="1">
      <c r="B1665" s="548"/>
      <c r="C1665" s="549"/>
    </row>
    <row r="1666" spans="2:3" ht="15" customHeight="1">
      <c r="B1666" s="548"/>
      <c r="C1666" s="549"/>
    </row>
    <row r="1667" spans="2:3" ht="15" customHeight="1">
      <c r="B1667" s="548"/>
      <c r="C1667" s="549"/>
    </row>
    <row r="1668" spans="2:3" ht="15" customHeight="1">
      <c r="B1668" s="548"/>
      <c r="C1668" s="549"/>
    </row>
    <row r="1669" spans="2:3" ht="15" customHeight="1">
      <c r="B1669" s="548"/>
      <c r="C1669" s="549"/>
    </row>
    <row r="1670" spans="2:3" ht="15" customHeight="1">
      <c r="B1670" s="548"/>
      <c r="C1670" s="549"/>
    </row>
    <row r="1671" spans="2:3" ht="15" customHeight="1">
      <c r="B1671" s="548"/>
      <c r="C1671" s="549"/>
    </row>
    <row r="1672" spans="2:3" ht="15" customHeight="1">
      <c r="B1672" s="548"/>
      <c r="C1672" s="549"/>
    </row>
    <row r="1673" spans="2:3" ht="15" customHeight="1">
      <c r="B1673" s="548"/>
      <c r="C1673" s="549"/>
    </row>
    <row r="1674" spans="2:3" ht="15" customHeight="1">
      <c r="B1674" s="548"/>
      <c r="C1674" s="549"/>
    </row>
    <row r="1675" spans="2:3" ht="15" customHeight="1">
      <c r="B1675" s="548"/>
      <c r="C1675" s="549"/>
    </row>
    <row r="1676" spans="2:3" ht="15" customHeight="1">
      <c r="B1676" s="548"/>
      <c r="C1676" s="549"/>
    </row>
    <row r="1677" spans="2:3" ht="15" customHeight="1">
      <c r="B1677" s="548"/>
      <c r="C1677" s="549"/>
    </row>
    <row r="1678" spans="2:3" ht="15" customHeight="1">
      <c r="B1678" s="548"/>
      <c r="C1678" s="549"/>
    </row>
    <row r="1679" spans="2:3" ht="15" customHeight="1">
      <c r="B1679" s="548"/>
      <c r="C1679" s="549"/>
    </row>
    <row r="1680" spans="2:3" ht="15" customHeight="1">
      <c r="B1680" s="548"/>
      <c r="C1680" s="549"/>
    </row>
    <row r="1681" spans="2:3" ht="15" customHeight="1">
      <c r="B1681" s="548"/>
      <c r="C1681" s="549"/>
    </row>
    <row r="1682" spans="2:3" ht="15" customHeight="1">
      <c r="B1682" s="548"/>
      <c r="C1682" s="549"/>
    </row>
    <row r="1683" spans="2:3" ht="15" customHeight="1">
      <c r="B1683" s="548"/>
      <c r="C1683" s="549"/>
    </row>
    <row r="1684" spans="2:3" ht="15" customHeight="1">
      <c r="B1684" s="548"/>
      <c r="C1684" s="549"/>
    </row>
    <row r="1685" spans="2:3" ht="15" customHeight="1">
      <c r="B1685" s="548"/>
      <c r="C1685" s="549"/>
    </row>
    <row r="1686" spans="2:3" ht="15" customHeight="1">
      <c r="B1686" s="548"/>
      <c r="C1686" s="549"/>
    </row>
    <row r="1687" spans="2:3" ht="15" customHeight="1">
      <c r="B1687" s="548"/>
      <c r="C1687" s="549"/>
    </row>
    <row r="1688" spans="2:3" ht="15" customHeight="1">
      <c r="B1688" s="548"/>
      <c r="C1688" s="549"/>
    </row>
    <row r="1689" spans="2:3" ht="15" customHeight="1">
      <c r="B1689" s="548"/>
      <c r="C1689" s="549"/>
    </row>
    <row r="1690" spans="2:3" ht="15" customHeight="1">
      <c r="B1690" s="548"/>
      <c r="C1690" s="549"/>
    </row>
    <row r="1691" spans="2:3" ht="15" customHeight="1">
      <c r="B1691" s="548"/>
      <c r="C1691" s="549"/>
    </row>
    <row r="1692" spans="2:3" ht="15" customHeight="1">
      <c r="B1692" s="548"/>
      <c r="C1692" s="549"/>
    </row>
    <row r="1693" spans="2:3" ht="15" customHeight="1">
      <c r="B1693" s="548"/>
      <c r="C1693" s="549"/>
    </row>
    <row r="1694" spans="2:3" ht="15" customHeight="1">
      <c r="B1694" s="548"/>
      <c r="C1694" s="549"/>
    </row>
    <row r="1695" spans="2:3" ht="15" customHeight="1">
      <c r="B1695" s="548"/>
      <c r="C1695" s="549"/>
    </row>
    <row r="1696" spans="2:3" ht="15" customHeight="1">
      <c r="B1696" s="548"/>
      <c r="C1696" s="549"/>
    </row>
    <row r="1697" spans="2:3" ht="15" customHeight="1">
      <c r="B1697" s="548"/>
      <c r="C1697" s="549"/>
    </row>
    <row r="1698" spans="2:3" ht="15" customHeight="1">
      <c r="B1698" s="548"/>
      <c r="C1698" s="549"/>
    </row>
    <row r="1699" spans="2:3" ht="15" customHeight="1">
      <c r="B1699" s="548"/>
      <c r="C1699" s="549"/>
    </row>
    <row r="1700" spans="2:3" ht="15" customHeight="1">
      <c r="B1700" s="548"/>
      <c r="C1700" s="549"/>
    </row>
    <row r="1701" spans="2:3" ht="15" customHeight="1">
      <c r="B1701" s="548"/>
      <c r="C1701" s="549"/>
    </row>
    <row r="1702" spans="2:3" ht="15" customHeight="1">
      <c r="B1702" s="548"/>
      <c r="C1702" s="549"/>
    </row>
    <row r="1703" spans="2:3" ht="15" customHeight="1">
      <c r="B1703" s="548"/>
      <c r="C1703" s="549"/>
    </row>
    <row r="1704" spans="2:3" ht="15" customHeight="1">
      <c r="B1704" s="548"/>
      <c r="C1704" s="549"/>
    </row>
    <row r="1705" spans="2:3" ht="15" customHeight="1">
      <c r="B1705" s="548"/>
      <c r="C1705" s="549"/>
    </row>
    <row r="1706" spans="2:3" ht="15" customHeight="1">
      <c r="B1706" s="548"/>
      <c r="C1706" s="549"/>
    </row>
    <row r="1707" spans="2:3" ht="15" customHeight="1">
      <c r="B1707" s="548"/>
      <c r="C1707" s="549"/>
    </row>
    <row r="1708" spans="2:3" ht="15" customHeight="1">
      <c r="B1708" s="548"/>
      <c r="C1708" s="549"/>
    </row>
    <row r="1709" spans="2:3" ht="15" customHeight="1">
      <c r="B1709" s="548"/>
      <c r="C1709" s="549"/>
    </row>
    <row r="1710" spans="2:3" ht="15" customHeight="1">
      <c r="B1710" s="548"/>
      <c r="C1710" s="549"/>
    </row>
    <row r="1711" spans="2:3" ht="15" customHeight="1">
      <c r="B1711" s="548"/>
      <c r="C1711" s="549"/>
    </row>
    <row r="1712" spans="2:3" ht="15" customHeight="1">
      <c r="B1712" s="548"/>
      <c r="C1712" s="549"/>
    </row>
    <row r="1713" spans="2:3" ht="15" customHeight="1">
      <c r="B1713" s="548"/>
      <c r="C1713" s="549"/>
    </row>
    <row r="1714" spans="2:3" ht="15" customHeight="1">
      <c r="B1714" s="548"/>
      <c r="C1714" s="549"/>
    </row>
    <row r="1715" spans="2:3" ht="15" customHeight="1">
      <c r="B1715" s="548"/>
      <c r="C1715" s="549"/>
    </row>
    <row r="1716" spans="2:3" ht="15" customHeight="1">
      <c r="B1716" s="548"/>
      <c r="C1716" s="549"/>
    </row>
    <row r="1717" spans="2:3" ht="15" customHeight="1">
      <c r="B1717" s="548"/>
      <c r="C1717" s="549"/>
    </row>
    <row r="1718" spans="2:3" ht="15" customHeight="1">
      <c r="B1718" s="548"/>
      <c r="C1718" s="549"/>
    </row>
    <row r="1719" spans="2:3" ht="15" customHeight="1">
      <c r="B1719" s="548"/>
      <c r="C1719" s="549"/>
    </row>
    <row r="1720" spans="2:3" ht="15" customHeight="1">
      <c r="B1720" s="548"/>
      <c r="C1720" s="549"/>
    </row>
    <row r="1721" spans="2:3" ht="15" customHeight="1">
      <c r="B1721" s="548"/>
      <c r="C1721" s="549"/>
    </row>
    <row r="1722" spans="2:3" ht="15" customHeight="1">
      <c r="B1722" s="548"/>
      <c r="C1722" s="549"/>
    </row>
    <row r="1723" spans="2:3" ht="15" customHeight="1">
      <c r="B1723" s="548"/>
      <c r="C1723" s="549"/>
    </row>
    <row r="1724" spans="2:3" ht="15" customHeight="1">
      <c r="B1724" s="548"/>
      <c r="C1724" s="549"/>
    </row>
    <row r="1725" spans="2:3" ht="15" customHeight="1">
      <c r="B1725" s="548"/>
      <c r="C1725" s="549"/>
    </row>
    <row r="1726" spans="2:3" ht="15" customHeight="1">
      <c r="B1726" s="548"/>
      <c r="C1726" s="549"/>
    </row>
    <row r="1727" spans="2:3" ht="15" customHeight="1">
      <c r="B1727" s="548"/>
      <c r="C1727" s="549"/>
    </row>
    <row r="1728" spans="2:3" ht="15" customHeight="1">
      <c r="B1728" s="548"/>
      <c r="C1728" s="549"/>
    </row>
    <row r="1729" spans="2:3" ht="15" customHeight="1">
      <c r="B1729" s="548"/>
      <c r="C1729" s="549"/>
    </row>
    <row r="1730" spans="2:3" ht="15" customHeight="1">
      <c r="B1730" s="548"/>
      <c r="C1730" s="549"/>
    </row>
    <row r="1731" spans="2:3" ht="15" customHeight="1">
      <c r="B1731" s="548"/>
      <c r="C1731" s="549"/>
    </row>
    <row r="1732" spans="2:3" ht="15" customHeight="1">
      <c r="B1732" s="548"/>
      <c r="C1732" s="549"/>
    </row>
    <row r="1733" spans="2:3" ht="15" customHeight="1">
      <c r="B1733" s="548"/>
      <c r="C1733" s="549"/>
    </row>
    <row r="1734" spans="2:3" ht="15" customHeight="1">
      <c r="B1734" s="548"/>
      <c r="C1734" s="549"/>
    </row>
    <row r="1735" spans="2:3" ht="15" customHeight="1">
      <c r="B1735" s="548"/>
      <c r="C1735" s="549"/>
    </row>
    <row r="1736" spans="2:3" ht="15" customHeight="1">
      <c r="B1736" s="548"/>
      <c r="C1736" s="549"/>
    </row>
    <row r="1737" spans="2:3" ht="15" customHeight="1">
      <c r="B1737" s="548"/>
      <c r="C1737" s="549"/>
    </row>
    <row r="1738" spans="2:3" ht="15" customHeight="1">
      <c r="B1738" s="548"/>
      <c r="C1738" s="549"/>
    </row>
    <row r="1739" spans="2:3" ht="15" customHeight="1">
      <c r="B1739" s="548"/>
      <c r="C1739" s="549"/>
    </row>
    <row r="1740" spans="2:3" ht="15" customHeight="1">
      <c r="B1740" s="548"/>
      <c r="C1740" s="549"/>
    </row>
    <row r="1741" spans="2:3" ht="15" customHeight="1">
      <c r="B1741" s="548"/>
      <c r="C1741" s="549"/>
    </row>
    <row r="1742" spans="2:3" ht="15" customHeight="1">
      <c r="B1742" s="548"/>
      <c r="C1742" s="549"/>
    </row>
    <row r="1743" spans="2:3" ht="15" customHeight="1">
      <c r="B1743" s="548"/>
      <c r="C1743" s="549"/>
    </row>
    <row r="1744" spans="2:3" ht="15" customHeight="1">
      <c r="B1744" s="548"/>
      <c r="C1744" s="549"/>
    </row>
    <row r="1745" spans="2:3" ht="15" customHeight="1">
      <c r="B1745" s="548"/>
      <c r="C1745" s="549"/>
    </row>
    <row r="1746" spans="2:3" ht="15" customHeight="1">
      <c r="B1746" s="548"/>
      <c r="C1746" s="549"/>
    </row>
    <row r="1747" spans="2:3" ht="15" customHeight="1">
      <c r="B1747" s="548"/>
      <c r="C1747" s="549"/>
    </row>
    <row r="1748" spans="2:3" ht="15" customHeight="1">
      <c r="B1748" s="548"/>
      <c r="C1748" s="549"/>
    </row>
    <row r="1749" spans="2:3" ht="15" customHeight="1">
      <c r="B1749" s="548"/>
      <c r="C1749" s="549"/>
    </row>
    <row r="1750" spans="2:3" ht="15" customHeight="1">
      <c r="B1750" s="548"/>
      <c r="C1750" s="549"/>
    </row>
    <row r="1751" spans="2:3" ht="15" customHeight="1">
      <c r="B1751" s="548"/>
      <c r="C1751" s="549"/>
    </row>
    <row r="1752" spans="2:3" ht="15" customHeight="1">
      <c r="B1752" s="548"/>
      <c r="C1752" s="549"/>
    </row>
    <row r="1753" spans="2:3" ht="15" customHeight="1">
      <c r="B1753" s="548"/>
      <c r="C1753" s="549"/>
    </row>
    <row r="1754" spans="2:3" ht="15" customHeight="1">
      <c r="B1754" s="548"/>
      <c r="C1754" s="549"/>
    </row>
    <row r="1755" spans="2:3" ht="15" customHeight="1">
      <c r="B1755" s="548"/>
      <c r="C1755" s="549"/>
    </row>
    <row r="1756" spans="2:3" ht="15" customHeight="1">
      <c r="B1756" s="548"/>
      <c r="C1756" s="549"/>
    </row>
    <row r="1757" spans="2:3" ht="15" customHeight="1">
      <c r="B1757" s="548"/>
      <c r="C1757" s="549"/>
    </row>
    <row r="1758" spans="2:3" ht="15" customHeight="1">
      <c r="B1758" s="548"/>
      <c r="C1758" s="549"/>
    </row>
    <row r="1759" spans="2:3" ht="15" customHeight="1">
      <c r="B1759" s="548"/>
      <c r="C1759" s="549"/>
    </row>
    <row r="1760" spans="2:3" ht="15" customHeight="1">
      <c r="B1760" s="548"/>
      <c r="C1760" s="549"/>
    </row>
    <row r="1761" spans="2:3" ht="15" customHeight="1">
      <c r="B1761" s="548"/>
      <c r="C1761" s="549"/>
    </row>
    <row r="1762" spans="2:3" ht="15" customHeight="1">
      <c r="B1762" s="548"/>
      <c r="C1762" s="549"/>
    </row>
    <row r="1763" spans="2:3" ht="15" customHeight="1">
      <c r="B1763" s="548"/>
      <c r="C1763" s="549"/>
    </row>
    <row r="1764" spans="2:3" ht="15" customHeight="1">
      <c r="B1764" s="548"/>
      <c r="C1764" s="549"/>
    </row>
    <row r="1765" spans="2:3" ht="15" customHeight="1">
      <c r="B1765" s="548"/>
      <c r="C1765" s="549"/>
    </row>
    <row r="1766" spans="2:3" ht="15" customHeight="1">
      <c r="B1766" s="548"/>
      <c r="C1766" s="549"/>
    </row>
    <row r="1767" spans="2:3" ht="15" customHeight="1">
      <c r="B1767" s="548"/>
      <c r="C1767" s="549"/>
    </row>
    <row r="1768" spans="2:3" ht="15" customHeight="1">
      <c r="B1768" s="548"/>
      <c r="C1768" s="549"/>
    </row>
    <row r="1769" spans="2:3" ht="15" customHeight="1">
      <c r="B1769" s="548"/>
      <c r="C1769" s="549"/>
    </row>
    <row r="1770" spans="2:3" ht="15" customHeight="1">
      <c r="B1770" s="548"/>
      <c r="C1770" s="549"/>
    </row>
    <row r="1771" spans="2:3" ht="15" customHeight="1">
      <c r="B1771" s="548"/>
      <c r="C1771" s="549"/>
    </row>
    <row r="1772" spans="2:3" ht="15" customHeight="1">
      <c r="B1772" s="548"/>
      <c r="C1772" s="549"/>
    </row>
    <row r="1773" spans="2:3" ht="15" customHeight="1">
      <c r="B1773" s="548"/>
      <c r="C1773" s="549"/>
    </row>
    <row r="1774" spans="2:3" ht="15" customHeight="1">
      <c r="B1774" s="548"/>
      <c r="C1774" s="549"/>
    </row>
    <row r="1775" spans="2:3" ht="15" customHeight="1">
      <c r="B1775" s="548"/>
      <c r="C1775" s="549"/>
    </row>
    <row r="1776" spans="2:3" ht="15" customHeight="1">
      <c r="B1776" s="548"/>
      <c r="C1776" s="549"/>
    </row>
    <row r="1777" spans="2:3" ht="15" customHeight="1">
      <c r="B1777" s="548"/>
      <c r="C1777" s="549"/>
    </row>
    <row r="1778" spans="2:3" ht="15" customHeight="1">
      <c r="B1778" s="548"/>
      <c r="C1778" s="549"/>
    </row>
    <row r="1779" spans="2:3" ht="15" customHeight="1">
      <c r="B1779" s="548"/>
      <c r="C1779" s="549"/>
    </row>
    <row r="1780" spans="2:3" ht="15" customHeight="1">
      <c r="B1780" s="548"/>
      <c r="C1780" s="549"/>
    </row>
    <row r="1781" spans="2:3" ht="15" customHeight="1">
      <c r="B1781" s="548"/>
      <c r="C1781" s="549"/>
    </row>
    <row r="1782" spans="2:3" ht="15" customHeight="1">
      <c r="B1782" s="548"/>
      <c r="C1782" s="549"/>
    </row>
    <row r="1783" spans="2:3" ht="15" customHeight="1">
      <c r="B1783" s="548"/>
      <c r="C1783" s="549"/>
    </row>
    <row r="1784" spans="2:3" ht="15" customHeight="1">
      <c r="B1784" s="548"/>
      <c r="C1784" s="549"/>
    </row>
    <row r="1785" spans="2:3" ht="15" customHeight="1">
      <c r="B1785" s="548"/>
      <c r="C1785" s="549"/>
    </row>
    <row r="1786" spans="2:3" ht="15" customHeight="1">
      <c r="B1786" s="548"/>
      <c r="C1786" s="549"/>
    </row>
    <row r="1787" spans="2:3" ht="15" customHeight="1">
      <c r="B1787" s="548"/>
      <c r="C1787" s="549"/>
    </row>
    <row r="1788" spans="2:3" ht="15" customHeight="1">
      <c r="B1788" s="548"/>
      <c r="C1788" s="549"/>
    </row>
    <row r="1789" spans="2:3" ht="15" customHeight="1">
      <c r="B1789" s="548"/>
      <c r="C1789" s="549"/>
    </row>
    <row r="1790" spans="2:3" ht="15" customHeight="1">
      <c r="B1790" s="548"/>
      <c r="C1790" s="549"/>
    </row>
    <row r="1791" spans="2:3" ht="15" customHeight="1">
      <c r="B1791" s="548"/>
      <c r="C1791" s="549"/>
    </row>
    <row r="1792" spans="2:3" ht="15" customHeight="1">
      <c r="B1792" s="548"/>
      <c r="C1792" s="549"/>
    </row>
    <row r="1793" spans="2:3" ht="15" customHeight="1">
      <c r="B1793" s="548"/>
      <c r="C1793" s="549"/>
    </row>
    <row r="1794" spans="2:3" ht="15" customHeight="1">
      <c r="B1794" s="548"/>
      <c r="C1794" s="549"/>
    </row>
    <row r="1795" spans="2:3" ht="15" customHeight="1">
      <c r="B1795" s="548"/>
      <c r="C1795" s="549"/>
    </row>
    <row r="1796" spans="2:3" ht="15" customHeight="1">
      <c r="B1796" s="548"/>
      <c r="C1796" s="549"/>
    </row>
    <row r="1797" spans="2:3" ht="15" customHeight="1">
      <c r="B1797" s="548"/>
      <c r="C1797" s="549"/>
    </row>
    <row r="1798" spans="2:3" ht="15" customHeight="1">
      <c r="B1798" s="548"/>
      <c r="C1798" s="549"/>
    </row>
    <row r="1799" spans="2:3" ht="15" customHeight="1">
      <c r="B1799" s="548"/>
      <c r="C1799" s="549"/>
    </row>
    <row r="1800" spans="2:3" ht="15" customHeight="1">
      <c r="B1800" s="548"/>
      <c r="C1800" s="549"/>
    </row>
    <row r="1801" spans="2:3" ht="15" customHeight="1">
      <c r="B1801" s="548"/>
      <c r="C1801" s="549"/>
    </row>
    <row r="1802" spans="2:3" ht="15" customHeight="1">
      <c r="B1802" s="548"/>
      <c r="C1802" s="549"/>
    </row>
    <row r="1803" spans="2:3" ht="15" customHeight="1">
      <c r="B1803" s="548"/>
      <c r="C1803" s="549"/>
    </row>
    <row r="1804" spans="2:3" ht="15" customHeight="1">
      <c r="B1804" s="548"/>
      <c r="C1804" s="549"/>
    </row>
    <row r="1805" spans="2:3" ht="15" customHeight="1">
      <c r="B1805" s="548"/>
      <c r="C1805" s="549"/>
    </row>
    <row r="1806" spans="2:3" ht="15" customHeight="1">
      <c r="B1806" s="548"/>
      <c r="C1806" s="549"/>
    </row>
    <row r="1807" spans="2:3" ht="15" customHeight="1">
      <c r="B1807" s="548"/>
      <c r="C1807" s="549"/>
    </row>
    <row r="1808" spans="2:3" ht="15" customHeight="1">
      <c r="B1808" s="548"/>
      <c r="C1808" s="549"/>
    </row>
    <row r="1809" spans="2:3" ht="15" customHeight="1">
      <c r="B1809" s="548"/>
      <c r="C1809" s="549"/>
    </row>
    <row r="1810" spans="2:3" ht="15" customHeight="1">
      <c r="B1810" s="548"/>
      <c r="C1810" s="549"/>
    </row>
    <row r="1811" spans="2:3" ht="15" customHeight="1">
      <c r="B1811" s="548"/>
      <c r="C1811" s="549"/>
    </row>
    <row r="1812" spans="2:3" ht="15" customHeight="1">
      <c r="B1812" s="548"/>
      <c r="C1812" s="549"/>
    </row>
    <row r="1813" spans="2:3" ht="15" customHeight="1">
      <c r="B1813" s="548"/>
      <c r="C1813" s="549"/>
    </row>
    <row r="1814" spans="2:3" ht="15" customHeight="1">
      <c r="B1814" s="548"/>
      <c r="C1814" s="549"/>
    </row>
    <row r="1815" spans="2:3" ht="15" customHeight="1">
      <c r="B1815" s="548"/>
      <c r="C1815" s="549"/>
    </row>
    <row r="1816" spans="2:3" ht="15" customHeight="1">
      <c r="B1816" s="548"/>
      <c r="C1816" s="549"/>
    </row>
    <row r="1817" spans="2:3" ht="15" customHeight="1">
      <c r="B1817" s="548"/>
      <c r="C1817" s="549"/>
    </row>
    <row r="1818" spans="2:3" ht="15" customHeight="1">
      <c r="B1818" s="548"/>
      <c r="C1818" s="549"/>
    </row>
    <row r="1819" spans="2:3" ht="15" customHeight="1">
      <c r="B1819" s="548"/>
      <c r="C1819" s="549"/>
    </row>
    <row r="1820" spans="2:3" ht="15" customHeight="1">
      <c r="B1820" s="548"/>
      <c r="C1820" s="549"/>
    </row>
    <row r="1821" spans="2:3" ht="15" customHeight="1">
      <c r="B1821" s="548"/>
      <c r="C1821" s="549"/>
    </row>
    <row r="1822" spans="2:3" ht="15" customHeight="1">
      <c r="B1822" s="548"/>
      <c r="C1822" s="549"/>
    </row>
    <row r="1823" spans="2:3" ht="15" customHeight="1">
      <c r="B1823" s="548"/>
      <c r="C1823" s="549"/>
    </row>
    <row r="1824" spans="2:3" ht="15" customHeight="1">
      <c r="B1824" s="548"/>
      <c r="C1824" s="549"/>
    </row>
    <row r="1825" spans="2:3" ht="15" customHeight="1">
      <c r="B1825" s="548"/>
      <c r="C1825" s="549"/>
    </row>
    <row r="1826" spans="2:3" ht="15" customHeight="1">
      <c r="B1826" s="548"/>
      <c r="C1826" s="549"/>
    </row>
    <row r="1827" spans="2:3" ht="15" customHeight="1">
      <c r="B1827" s="548"/>
      <c r="C1827" s="549"/>
    </row>
    <row r="1828" spans="2:3" ht="15" customHeight="1">
      <c r="B1828" s="548"/>
      <c r="C1828" s="549"/>
    </row>
    <row r="1829" spans="2:3" ht="15" customHeight="1">
      <c r="B1829" s="548"/>
      <c r="C1829" s="549"/>
    </row>
    <row r="1830" spans="2:3" ht="15" customHeight="1">
      <c r="B1830" s="548"/>
      <c r="C1830" s="549"/>
    </row>
    <row r="1831" spans="2:3" ht="15" customHeight="1">
      <c r="B1831" s="548"/>
      <c r="C1831" s="549"/>
    </row>
    <row r="1832" spans="2:3" ht="15" customHeight="1">
      <c r="B1832" s="548"/>
      <c r="C1832" s="549"/>
    </row>
    <row r="1833" spans="2:3" ht="15" customHeight="1">
      <c r="B1833" s="548"/>
      <c r="C1833" s="549"/>
    </row>
    <row r="1834" spans="2:3" ht="15" customHeight="1">
      <c r="B1834" s="548"/>
      <c r="C1834" s="549"/>
    </row>
    <row r="1835" spans="2:3" ht="15" customHeight="1">
      <c r="B1835" s="548"/>
      <c r="C1835" s="549"/>
    </row>
    <row r="1836" spans="2:3" ht="15" customHeight="1">
      <c r="B1836" s="548"/>
      <c r="C1836" s="549"/>
    </row>
    <row r="1837" spans="2:3" ht="15" customHeight="1">
      <c r="B1837" s="548"/>
      <c r="C1837" s="549"/>
    </row>
    <row r="1838" spans="2:3" ht="15" customHeight="1">
      <c r="B1838" s="548"/>
      <c r="C1838" s="549"/>
    </row>
    <row r="1839" spans="2:3" ht="15" customHeight="1">
      <c r="B1839" s="548"/>
      <c r="C1839" s="549"/>
    </row>
    <row r="1840" spans="2:3" ht="15" customHeight="1">
      <c r="B1840" s="548"/>
      <c r="C1840" s="549"/>
    </row>
    <row r="1841" spans="2:3" ht="15" customHeight="1">
      <c r="B1841" s="548"/>
      <c r="C1841" s="549"/>
    </row>
    <row r="1842" spans="2:3" ht="15" customHeight="1">
      <c r="B1842" s="548"/>
      <c r="C1842" s="549"/>
    </row>
    <row r="1843" spans="2:3" ht="15" customHeight="1">
      <c r="B1843" s="548"/>
      <c r="C1843" s="549"/>
    </row>
    <row r="1844" spans="2:3" ht="15" customHeight="1">
      <c r="B1844" s="548"/>
      <c r="C1844" s="549"/>
    </row>
    <row r="1845" spans="2:3" ht="15" customHeight="1">
      <c r="B1845" s="548"/>
      <c r="C1845" s="549"/>
    </row>
    <row r="1846" spans="2:3" ht="15" customHeight="1">
      <c r="B1846" s="548"/>
      <c r="C1846" s="549"/>
    </row>
    <row r="1847" spans="2:3" ht="15" customHeight="1">
      <c r="B1847" s="548"/>
      <c r="C1847" s="549"/>
    </row>
    <row r="1848" spans="2:3" ht="15" customHeight="1">
      <c r="B1848" s="548"/>
      <c r="C1848" s="549"/>
    </row>
    <row r="1849" spans="2:3" ht="15" customHeight="1">
      <c r="B1849" s="548"/>
      <c r="C1849" s="549"/>
    </row>
    <row r="1850" spans="2:3" ht="15" customHeight="1">
      <c r="B1850" s="548"/>
      <c r="C1850" s="549"/>
    </row>
    <row r="1851" spans="2:3" ht="15" customHeight="1">
      <c r="B1851" s="548"/>
      <c r="C1851" s="549"/>
    </row>
    <row r="1852" spans="2:3" ht="15" customHeight="1">
      <c r="B1852" s="548"/>
      <c r="C1852" s="549"/>
    </row>
    <row r="1853" spans="2:3" ht="15" customHeight="1">
      <c r="B1853" s="548"/>
      <c r="C1853" s="549"/>
    </row>
    <row r="1854" spans="2:3" ht="15" customHeight="1">
      <c r="B1854" s="548"/>
      <c r="C1854" s="549"/>
    </row>
    <row r="1855" spans="2:3" ht="15" customHeight="1">
      <c r="B1855" s="548"/>
      <c r="C1855" s="549"/>
    </row>
    <row r="1856" spans="2:3" ht="15" customHeight="1">
      <c r="B1856" s="548"/>
      <c r="C1856" s="549"/>
    </row>
    <row r="1857" spans="2:3" ht="15" customHeight="1">
      <c r="B1857" s="548"/>
      <c r="C1857" s="549"/>
    </row>
    <row r="1858" spans="2:3" ht="15" customHeight="1">
      <c r="B1858" s="548"/>
      <c r="C1858" s="549"/>
    </row>
    <row r="1859" spans="2:3" ht="15" customHeight="1">
      <c r="B1859" s="548"/>
      <c r="C1859" s="549"/>
    </row>
    <row r="1860" spans="2:3" ht="15" customHeight="1">
      <c r="B1860" s="548"/>
      <c r="C1860" s="549"/>
    </row>
    <row r="1861" spans="2:3" ht="15" customHeight="1">
      <c r="B1861" s="548"/>
      <c r="C1861" s="549"/>
    </row>
    <row r="1862" spans="2:3" ht="15" customHeight="1">
      <c r="B1862" s="548"/>
      <c r="C1862" s="549"/>
    </row>
    <row r="1863" spans="2:3" ht="15" customHeight="1">
      <c r="B1863" s="548"/>
      <c r="C1863" s="549"/>
    </row>
    <row r="1864" spans="2:3" ht="15" customHeight="1">
      <c r="B1864" s="548"/>
      <c r="C1864" s="549"/>
    </row>
    <row r="1865" spans="2:3" ht="15" customHeight="1">
      <c r="B1865" s="548"/>
      <c r="C1865" s="549"/>
    </row>
    <row r="1866" spans="2:3" ht="15" customHeight="1">
      <c r="B1866" s="548"/>
      <c r="C1866" s="549"/>
    </row>
    <row r="1867" spans="2:3" ht="15" customHeight="1">
      <c r="B1867" s="548"/>
      <c r="C1867" s="549"/>
    </row>
    <row r="1868" spans="2:3" ht="15" customHeight="1">
      <c r="B1868" s="548"/>
      <c r="C1868" s="549"/>
    </row>
    <row r="1869" spans="2:3" ht="15" customHeight="1">
      <c r="B1869" s="548"/>
      <c r="C1869" s="549"/>
    </row>
    <row r="1870" spans="2:3" ht="15" customHeight="1">
      <c r="B1870" s="548"/>
      <c r="C1870" s="549"/>
    </row>
    <row r="1871" spans="2:3" ht="15" customHeight="1">
      <c r="B1871" s="548"/>
      <c r="C1871" s="549"/>
    </row>
    <row r="1872" spans="2:3" ht="15" customHeight="1">
      <c r="B1872" s="548"/>
      <c r="C1872" s="549"/>
    </row>
    <row r="1873" spans="2:3" ht="15" customHeight="1">
      <c r="B1873" s="548"/>
      <c r="C1873" s="549"/>
    </row>
    <row r="1874" spans="2:3" ht="15" customHeight="1">
      <c r="B1874" s="548"/>
      <c r="C1874" s="549"/>
    </row>
    <row r="1875" spans="2:3" ht="15" customHeight="1">
      <c r="B1875" s="548"/>
      <c r="C1875" s="549"/>
    </row>
    <row r="1876" spans="2:3" ht="15" customHeight="1">
      <c r="B1876" s="548"/>
      <c r="C1876" s="549"/>
    </row>
    <row r="1877" spans="2:3" ht="15" customHeight="1">
      <c r="B1877" s="548"/>
      <c r="C1877" s="549"/>
    </row>
    <row r="1878" spans="2:3" ht="15" customHeight="1">
      <c r="B1878" s="548"/>
      <c r="C1878" s="549"/>
    </row>
    <row r="1879" spans="2:3" ht="15" customHeight="1">
      <c r="B1879" s="548"/>
      <c r="C1879" s="549"/>
    </row>
    <row r="1880" spans="2:3" ht="15" customHeight="1">
      <c r="B1880" s="548"/>
      <c r="C1880" s="549"/>
    </row>
    <row r="1881" spans="2:3" ht="15" customHeight="1">
      <c r="B1881" s="548"/>
      <c r="C1881" s="549"/>
    </row>
    <row r="1882" spans="2:3" ht="15" customHeight="1">
      <c r="B1882" s="548"/>
      <c r="C1882" s="549"/>
    </row>
    <row r="1883" spans="2:3" ht="15" customHeight="1">
      <c r="B1883" s="548"/>
      <c r="C1883" s="549"/>
    </row>
    <row r="1884" spans="2:3" ht="15" customHeight="1">
      <c r="B1884" s="548"/>
      <c r="C1884" s="549"/>
    </row>
    <row r="1885" spans="2:3" ht="15" customHeight="1">
      <c r="B1885" s="548"/>
      <c r="C1885" s="549"/>
    </row>
    <row r="1886" spans="2:3" ht="15" customHeight="1">
      <c r="B1886" s="548"/>
      <c r="C1886" s="549"/>
    </row>
    <row r="1887" spans="2:3" ht="15" customHeight="1">
      <c r="B1887" s="548"/>
      <c r="C1887" s="549"/>
    </row>
    <row r="1888" spans="2:3" ht="15" customHeight="1">
      <c r="B1888" s="548"/>
      <c r="C1888" s="549"/>
    </row>
    <row r="1889" spans="2:3" ht="15" customHeight="1">
      <c r="B1889" s="548"/>
      <c r="C1889" s="549"/>
    </row>
    <row r="1890" spans="2:3" ht="15" customHeight="1">
      <c r="B1890" s="548"/>
      <c r="C1890" s="549"/>
    </row>
    <row r="1891" spans="2:3" ht="15" customHeight="1">
      <c r="B1891" s="548"/>
      <c r="C1891" s="549"/>
    </row>
    <row r="1892" spans="2:3" ht="15" customHeight="1">
      <c r="B1892" s="548"/>
      <c r="C1892" s="549"/>
    </row>
    <row r="1893" spans="2:3" ht="15" customHeight="1">
      <c r="B1893" s="548"/>
      <c r="C1893" s="549"/>
    </row>
    <row r="1894" spans="2:3" ht="15" customHeight="1">
      <c r="B1894" s="548"/>
      <c r="C1894" s="549"/>
    </row>
    <row r="1895" spans="2:3" ht="15" customHeight="1">
      <c r="B1895" s="548"/>
      <c r="C1895" s="549"/>
    </row>
    <row r="1896" spans="2:3" ht="15" customHeight="1">
      <c r="B1896" s="548"/>
      <c r="C1896" s="549"/>
    </row>
    <row r="1897" spans="2:3" ht="15" customHeight="1">
      <c r="B1897" s="548"/>
      <c r="C1897" s="549"/>
    </row>
    <row r="1898" spans="2:3" ht="15" customHeight="1">
      <c r="B1898" s="548"/>
      <c r="C1898" s="549"/>
    </row>
    <row r="1899" spans="2:3" ht="15" customHeight="1">
      <c r="B1899" s="548"/>
      <c r="C1899" s="549"/>
    </row>
    <row r="1900" spans="2:3" ht="15" customHeight="1">
      <c r="B1900" s="548"/>
      <c r="C1900" s="549"/>
    </row>
    <row r="1901" spans="2:3" ht="15" customHeight="1">
      <c r="B1901" s="548"/>
      <c r="C1901" s="549"/>
    </row>
    <row r="1902" spans="2:3" ht="15" customHeight="1">
      <c r="B1902" s="548"/>
      <c r="C1902" s="549"/>
    </row>
    <row r="1903" spans="2:3" ht="15" customHeight="1">
      <c r="B1903" s="548"/>
      <c r="C1903" s="549"/>
    </row>
    <row r="1904" spans="2:3" ht="15" customHeight="1">
      <c r="B1904" s="548"/>
      <c r="C1904" s="549"/>
    </row>
    <row r="1905" spans="2:3" ht="15" customHeight="1">
      <c r="B1905" s="548"/>
      <c r="C1905" s="549"/>
    </row>
    <row r="1906" spans="2:3" ht="15" customHeight="1">
      <c r="B1906" s="548"/>
      <c r="C1906" s="549"/>
    </row>
    <row r="1907" spans="2:3" ht="15" customHeight="1">
      <c r="B1907" s="548"/>
      <c r="C1907" s="549"/>
    </row>
    <row r="1908" spans="2:3" ht="15" customHeight="1">
      <c r="B1908" s="548"/>
      <c r="C1908" s="549"/>
    </row>
    <row r="1909" spans="2:3" ht="15" customHeight="1">
      <c r="B1909" s="548"/>
      <c r="C1909" s="549"/>
    </row>
    <row r="1910" spans="2:3" ht="15" customHeight="1">
      <c r="B1910" s="548"/>
      <c r="C1910" s="549"/>
    </row>
    <row r="1911" spans="2:3" ht="15" customHeight="1">
      <c r="B1911" s="548"/>
      <c r="C1911" s="549"/>
    </row>
    <row r="1912" spans="2:3" ht="15" customHeight="1">
      <c r="B1912" s="548"/>
      <c r="C1912" s="549"/>
    </row>
    <row r="1913" spans="2:3" ht="15" customHeight="1">
      <c r="B1913" s="548"/>
      <c r="C1913" s="549"/>
    </row>
    <row r="1914" spans="2:3" ht="15" customHeight="1">
      <c r="B1914" s="548"/>
      <c r="C1914" s="549"/>
    </row>
    <row r="1915" spans="2:3" ht="15" customHeight="1">
      <c r="B1915" s="548"/>
      <c r="C1915" s="549"/>
    </row>
    <row r="1916" spans="2:3" ht="15" customHeight="1">
      <c r="B1916" s="548"/>
      <c r="C1916" s="549"/>
    </row>
    <row r="1917" spans="2:3" ht="15" customHeight="1">
      <c r="B1917" s="548"/>
      <c r="C1917" s="549"/>
    </row>
    <row r="1918" spans="2:3" ht="15" customHeight="1">
      <c r="B1918" s="548"/>
      <c r="C1918" s="549"/>
    </row>
    <row r="1919" spans="2:3" ht="15" customHeight="1">
      <c r="B1919" s="548"/>
      <c r="C1919" s="549"/>
    </row>
    <row r="1920" spans="2:3" ht="15" customHeight="1">
      <c r="B1920" s="548"/>
      <c r="C1920" s="549"/>
    </row>
    <row r="1921" spans="2:3" ht="15" customHeight="1">
      <c r="B1921" s="548"/>
      <c r="C1921" s="549"/>
    </row>
    <row r="1922" spans="2:3" ht="15" customHeight="1">
      <c r="B1922" s="548"/>
      <c r="C1922" s="549"/>
    </row>
    <row r="1923" spans="2:3" ht="15" customHeight="1">
      <c r="B1923" s="548"/>
      <c r="C1923" s="549"/>
    </row>
    <row r="1924" spans="2:3" ht="15" customHeight="1">
      <c r="B1924" s="548"/>
      <c r="C1924" s="549"/>
    </row>
    <row r="1925" spans="2:3" ht="15" customHeight="1">
      <c r="B1925" s="548"/>
      <c r="C1925" s="549"/>
    </row>
    <row r="1926" spans="2:3" ht="15" customHeight="1">
      <c r="B1926" s="548"/>
      <c r="C1926" s="549"/>
    </row>
    <row r="1927" spans="2:3" ht="15" customHeight="1">
      <c r="B1927" s="548"/>
      <c r="C1927" s="549"/>
    </row>
    <row r="1928" spans="2:3" ht="15" customHeight="1">
      <c r="B1928" s="548"/>
      <c r="C1928" s="549"/>
    </row>
    <row r="1929" spans="2:3" ht="15" customHeight="1">
      <c r="B1929" s="548"/>
      <c r="C1929" s="549"/>
    </row>
    <row r="1930" spans="2:3" ht="15" customHeight="1">
      <c r="B1930" s="548"/>
      <c r="C1930" s="549"/>
    </row>
    <row r="1931" spans="2:3" ht="15" customHeight="1">
      <c r="B1931" s="548"/>
      <c r="C1931" s="549"/>
    </row>
    <row r="1932" spans="2:3" ht="15" customHeight="1">
      <c r="B1932" s="548"/>
      <c r="C1932" s="549"/>
    </row>
    <row r="1933" spans="2:3" ht="15" customHeight="1">
      <c r="B1933" s="548"/>
      <c r="C1933" s="549"/>
    </row>
    <row r="1934" spans="2:3" ht="15" customHeight="1">
      <c r="B1934" s="548"/>
      <c r="C1934" s="549"/>
    </row>
    <row r="1935" spans="2:3" ht="15" customHeight="1">
      <c r="B1935" s="548"/>
      <c r="C1935" s="549"/>
    </row>
    <row r="1936" spans="2:3" ht="15" customHeight="1">
      <c r="B1936" s="548"/>
      <c r="C1936" s="549"/>
    </row>
    <row r="1937" spans="2:3" ht="15" customHeight="1">
      <c r="B1937" s="548"/>
      <c r="C1937" s="549"/>
    </row>
    <row r="1938" spans="2:3" ht="15" customHeight="1">
      <c r="B1938" s="548"/>
      <c r="C1938" s="549"/>
    </row>
    <row r="1939" spans="2:3" ht="15" customHeight="1">
      <c r="B1939" s="548"/>
      <c r="C1939" s="549"/>
    </row>
    <row r="1940" spans="2:3" ht="15" customHeight="1">
      <c r="B1940" s="548"/>
      <c r="C1940" s="549"/>
    </row>
    <row r="1941" spans="2:3" ht="15" customHeight="1">
      <c r="B1941" s="548"/>
      <c r="C1941" s="549"/>
    </row>
    <row r="1942" spans="2:3" ht="15" customHeight="1">
      <c r="B1942" s="548"/>
      <c r="C1942" s="549"/>
    </row>
    <row r="1943" spans="2:3" ht="15" customHeight="1">
      <c r="B1943" s="548"/>
      <c r="C1943" s="549"/>
    </row>
    <row r="1944" spans="2:3" ht="15" customHeight="1">
      <c r="B1944" s="548"/>
      <c r="C1944" s="549"/>
    </row>
    <row r="1945" spans="2:3" ht="15" customHeight="1">
      <c r="B1945" s="548"/>
      <c r="C1945" s="549"/>
    </row>
    <row r="1946" spans="2:3" ht="15" customHeight="1">
      <c r="B1946" s="548"/>
      <c r="C1946" s="549"/>
    </row>
    <row r="1947" spans="2:3" ht="15" customHeight="1">
      <c r="B1947" s="548"/>
      <c r="C1947" s="549"/>
    </row>
    <row r="1948" spans="2:3" ht="15" customHeight="1">
      <c r="B1948" s="548"/>
      <c r="C1948" s="549"/>
    </row>
    <row r="1949" spans="2:3" ht="15" customHeight="1">
      <c r="B1949" s="548"/>
      <c r="C1949" s="549"/>
    </row>
    <row r="1950" spans="2:3" ht="15" customHeight="1">
      <c r="B1950" s="548"/>
      <c r="C1950" s="549"/>
    </row>
    <row r="1951" spans="2:3" ht="15" customHeight="1">
      <c r="B1951" s="548"/>
      <c r="C1951" s="549"/>
    </row>
    <row r="1952" spans="2:3" ht="15" customHeight="1">
      <c r="B1952" s="548"/>
      <c r="C1952" s="549"/>
    </row>
    <row r="1953" spans="2:3" ht="15" customHeight="1">
      <c r="B1953" s="548"/>
      <c r="C1953" s="549"/>
    </row>
    <row r="1954" spans="2:3" ht="15" customHeight="1">
      <c r="B1954" s="548"/>
      <c r="C1954" s="549"/>
    </row>
    <row r="1955" spans="2:3" ht="15" customHeight="1">
      <c r="B1955" s="548"/>
      <c r="C1955" s="549"/>
    </row>
    <row r="1956" spans="2:3" ht="15" customHeight="1">
      <c r="B1956" s="548"/>
      <c r="C1956" s="549"/>
    </row>
    <row r="1957" spans="2:3" ht="15" customHeight="1">
      <c r="B1957" s="548"/>
      <c r="C1957" s="549"/>
    </row>
    <row r="1958" spans="2:3" ht="15" customHeight="1">
      <c r="B1958" s="548"/>
      <c r="C1958" s="549"/>
    </row>
    <row r="1959" spans="2:3" ht="15" customHeight="1">
      <c r="B1959" s="548"/>
      <c r="C1959" s="549"/>
    </row>
    <row r="1960" spans="2:3" ht="15" customHeight="1">
      <c r="B1960" s="548"/>
      <c r="C1960" s="549"/>
    </row>
    <row r="1961" spans="2:3" ht="15" customHeight="1">
      <c r="B1961" s="548"/>
      <c r="C1961" s="549"/>
    </row>
    <row r="1962" spans="2:3" ht="15" customHeight="1">
      <c r="B1962" s="548"/>
      <c r="C1962" s="549"/>
    </row>
    <row r="1963" spans="2:3" ht="15" customHeight="1">
      <c r="B1963" s="548"/>
      <c r="C1963" s="549"/>
    </row>
    <row r="1964" spans="2:3" ht="15" customHeight="1">
      <c r="B1964" s="548"/>
      <c r="C1964" s="549"/>
    </row>
    <row r="1965" spans="2:3" ht="15" customHeight="1">
      <c r="B1965" s="548"/>
      <c r="C1965" s="549"/>
    </row>
    <row r="1966" spans="2:3" ht="15" customHeight="1">
      <c r="B1966" s="548"/>
      <c r="C1966" s="549"/>
    </row>
    <row r="1967" spans="2:3" ht="15" customHeight="1">
      <c r="B1967" s="548"/>
      <c r="C1967" s="549"/>
    </row>
    <row r="1968" spans="2:3" ht="15" customHeight="1">
      <c r="B1968" s="548"/>
      <c r="C1968" s="549"/>
    </row>
    <row r="1969" spans="2:3" ht="15" customHeight="1">
      <c r="B1969" s="548"/>
      <c r="C1969" s="549"/>
    </row>
    <row r="1970" spans="2:3" ht="15" customHeight="1">
      <c r="B1970" s="548"/>
      <c r="C1970" s="549"/>
    </row>
    <row r="1971" spans="2:3" ht="15" customHeight="1">
      <c r="B1971" s="548"/>
      <c r="C1971" s="549"/>
    </row>
    <row r="1972" spans="2:3" ht="15" customHeight="1">
      <c r="B1972" s="548"/>
      <c r="C1972" s="549"/>
    </row>
    <row r="1973" spans="2:3" ht="15" customHeight="1">
      <c r="B1973" s="548"/>
      <c r="C1973" s="549"/>
    </row>
    <row r="1974" spans="2:3" ht="15" customHeight="1">
      <c r="B1974" s="548"/>
      <c r="C1974" s="549"/>
    </row>
    <row r="1975" spans="2:3" ht="15" customHeight="1">
      <c r="B1975" s="548"/>
      <c r="C1975" s="549"/>
    </row>
    <row r="1976" spans="2:3" ht="15" customHeight="1">
      <c r="B1976" s="548"/>
      <c r="C1976" s="549"/>
    </row>
    <row r="1977" spans="2:3" ht="15" customHeight="1">
      <c r="B1977" s="548"/>
      <c r="C1977" s="549"/>
    </row>
    <row r="1978" spans="2:3" ht="15" customHeight="1">
      <c r="B1978" s="548"/>
      <c r="C1978" s="549"/>
    </row>
    <row r="1979" spans="2:3" ht="15" customHeight="1">
      <c r="B1979" s="548"/>
      <c r="C1979" s="549"/>
    </row>
    <row r="1980" spans="2:3" ht="15" customHeight="1">
      <c r="B1980" s="548"/>
      <c r="C1980" s="549"/>
    </row>
    <row r="1981" spans="2:3" ht="15" customHeight="1">
      <c r="B1981" s="548"/>
      <c r="C1981" s="549"/>
    </row>
    <row r="1982" spans="2:3" ht="15" customHeight="1">
      <c r="B1982" s="548"/>
      <c r="C1982" s="549"/>
    </row>
    <row r="1983" spans="2:3" ht="15" customHeight="1">
      <c r="B1983" s="548"/>
      <c r="C1983" s="549"/>
    </row>
    <row r="1984" spans="2:3" ht="15" customHeight="1">
      <c r="B1984" s="548"/>
      <c r="C1984" s="549"/>
    </row>
    <row r="1985" spans="2:3" ht="15" customHeight="1">
      <c r="B1985" s="548"/>
      <c r="C1985" s="549"/>
    </row>
    <row r="1986" spans="2:3" ht="15" customHeight="1">
      <c r="B1986" s="548"/>
      <c r="C1986" s="549"/>
    </row>
    <row r="1987" spans="2:3" ht="15" customHeight="1">
      <c r="B1987" s="548"/>
      <c r="C1987" s="549"/>
    </row>
    <row r="1988" spans="2:3" ht="15" customHeight="1">
      <c r="B1988" s="548"/>
      <c r="C1988" s="549"/>
    </row>
    <row r="1989" spans="2:3" ht="15" customHeight="1">
      <c r="B1989" s="548"/>
      <c r="C1989" s="549"/>
    </row>
    <row r="1990" spans="2:3" ht="15" customHeight="1">
      <c r="B1990" s="548"/>
      <c r="C1990" s="549"/>
    </row>
    <row r="1991" spans="2:3" ht="15" customHeight="1">
      <c r="B1991" s="548"/>
      <c r="C1991" s="549"/>
    </row>
    <row r="1992" spans="2:3" ht="15" customHeight="1">
      <c r="B1992" s="548"/>
      <c r="C1992" s="549"/>
    </row>
    <row r="1993" spans="2:3" ht="15" customHeight="1">
      <c r="B1993" s="548"/>
      <c r="C1993" s="549"/>
    </row>
    <row r="1994" spans="2:3" ht="15" customHeight="1">
      <c r="B1994" s="548"/>
      <c r="C1994" s="549"/>
    </row>
    <row r="1995" spans="2:3" ht="15" customHeight="1">
      <c r="B1995" s="548"/>
      <c r="C1995" s="549"/>
    </row>
    <row r="1996" spans="2:3" ht="15" customHeight="1">
      <c r="B1996" s="548"/>
      <c r="C1996" s="549"/>
    </row>
    <row r="1997" spans="2:3" ht="15" customHeight="1">
      <c r="B1997" s="548"/>
      <c r="C1997" s="549"/>
    </row>
    <row r="1998" spans="2:3" ht="15" customHeight="1">
      <c r="B1998" s="548"/>
      <c r="C1998" s="549"/>
    </row>
    <row r="1999" spans="2:3" ht="15" customHeight="1">
      <c r="B1999" s="548"/>
      <c r="C1999" s="549"/>
    </row>
    <row r="2000" spans="2:3" ht="15" customHeight="1">
      <c r="B2000" s="548"/>
      <c r="C2000" s="549"/>
    </row>
    <row r="2001" spans="2:3" ht="15" customHeight="1">
      <c r="B2001" s="548"/>
      <c r="C2001" s="549"/>
    </row>
    <row r="2002" spans="2:3" ht="15" customHeight="1">
      <c r="B2002" s="548"/>
      <c r="C2002" s="549"/>
    </row>
    <row r="2003" spans="2:3" ht="15" customHeight="1">
      <c r="B2003" s="548"/>
      <c r="C2003" s="549"/>
    </row>
    <row r="2004" spans="2:3" ht="15" customHeight="1">
      <c r="B2004" s="548"/>
      <c r="C2004" s="549"/>
    </row>
    <row r="2005" spans="2:3" ht="15" customHeight="1">
      <c r="B2005" s="548"/>
      <c r="C2005" s="549"/>
    </row>
    <row r="2006" spans="2:3" ht="15" customHeight="1">
      <c r="B2006" s="548"/>
      <c r="C2006" s="549"/>
    </row>
    <row r="2007" spans="2:3" ht="15" customHeight="1">
      <c r="B2007" s="548"/>
      <c r="C2007" s="549"/>
    </row>
    <row r="2008" spans="2:3" ht="15" customHeight="1">
      <c r="B2008" s="548"/>
      <c r="C2008" s="549"/>
    </row>
    <row r="2009" spans="2:3" ht="15" customHeight="1">
      <c r="B2009" s="548"/>
      <c r="C2009" s="549"/>
    </row>
    <row r="2010" spans="2:3" ht="15" customHeight="1">
      <c r="B2010" s="548"/>
      <c r="C2010" s="549"/>
    </row>
    <row r="2011" spans="2:3" ht="15" customHeight="1">
      <c r="B2011" s="548"/>
      <c r="C2011" s="549"/>
    </row>
    <row r="2012" spans="2:3" ht="15" customHeight="1">
      <c r="B2012" s="548"/>
      <c r="C2012" s="549"/>
    </row>
    <row r="2013" spans="2:3" ht="15" customHeight="1">
      <c r="B2013" s="548"/>
      <c r="C2013" s="549"/>
    </row>
    <row r="2014" spans="2:3" ht="15" customHeight="1">
      <c r="B2014" s="548"/>
      <c r="C2014" s="549"/>
    </row>
    <row r="2015" spans="2:3" ht="15" customHeight="1">
      <c r="B2015" s="548"/>
      <c r="C2015" s="549"/>
    </row>
    <row r="2016" spans="2:3" ht="15" customHeight="1">
      <c r="B2016" s="548"/>
      <c r="C2016" s="549"/>
    </row>
    <row r="2017" spans="2:3" ht="15" customHeight="1">
      <c r="B2017" s="548"/>
      <c r="C2017" s="549"/>
    </row>
    <row r="2018" spans="2:3" ht="15" customHeight="1">
      <c r="B2018" s="548"/>
      <c r="C2018" s="549"/>
    </row>
    <row r="2019" spans="2:3" ht="15" customHeight="1">
      <c r="B2019" s="548"/>
      <c r="C2019" s="549"/>
    </row>
    <row r="2020" spans="2:3" ht="15" customHeight="1">
      <c r="B2020" s="548"/>
      <c r="C2020" s="549"/>
    </row>
    <row r="2021" spans="2:3" ht="15" customHeight="1">
      <c r="B2021" s="548"/>
      <c r="C2021" s="549"/>
    </row>
    <row r="2022" spans="2:3" ht="15" customHeight="1">
      <c r="B2022" s="548"/>
      <c r="C2022" s="549"/>
    </row>
    <row r="2023" spans="2:3" ht="15" customHeight="1">
      <c r="B2023" s="548"/>
      <c r="C2023" s="549"/>
    </row>
    <row r="2024" spans="2:3" ht="15" customHeight="1">
      <c r="B2024" s="548"/>
      <c r="C2024" s="549"/>
    </row>
    <row r="2025" spans="2:3" ht="15" customHeight="1">
      <c r="B2025" s="548"/>
      <c r="C2025" s="549"/>
    </row>
    <row r="2026" spans="2:3" ht="15" customHeight="1">
      <c r="B2026" s="548"/>
      <c r="C2026" s="549"/>
    </row>
    <row r="2027" spans="2:3" ht="15" customHeight="1">
      <c r="B2027" s="548"/>
      <c r="C2027" s="549"/>
    </row>
    <row r="2028" spans="2:3" ht="15" customHeight="1">
      <c r="B2028" s="548"/>
      <c r="C2028" s="549"/>
    </row>
    <row r="2029" spans="2:3" ht="15" customHeight="1">
      <c r="B2029" s="548"/>
      <c r="C2029" s="549"/>
    </row>
    <row r="2030" spans="2:3" ht="15" customHeight="1">
      <c r="B2030" s="548"/>
      <c r="C2030" s="549"/>
    </row>
    <row r="2031" spans="2:3" ht="15" customHeight="1">
      <c r="B2031" s="548"/>
      <c r="C2031" s="549"/>
    </row>
    <row r="2032" spans="2:3" ht="15" customHeight="1">
      <c r="B2032" s="548"/>
      <c r="C2032" s="549"/>
    </row>
    <row r="2033" spans="2:3" ht="15" customHeight="1">
      <c r="B2033" s="548"/>
      <c r="C2033" s="549"/>
    </row>
    <row r="2034" spans="2:3" ht="15" customHeight="1">
      <c r="B2034" s="548"/>
      <c r="C2034" s="549"/>
    </row>
    <row r="2035" spans="2:3" ht="15" customHeight="1">
      <c r="B2035" s="548"/>
      <c r="C2035" s="549"/>
    </row>
    <row r="2036" spans="2:3" ht="15" customHeight="1">
      <c r="B2036" s="548"/>
      <c r="C2036" s="549"/>
    </row>
    <row r="2037" spans="2:3" ht="15" customHeight="1">
      <c r="B2037" s="548"/>
      <c r="C2037" s="549"/>
    </row>
    <row r="2038" spans="2:3" ht="15" customHeight="1">
      <c r="B2038" s="548"/>
      <c r="C2038" s="549"/>
    </row>
    <row r="2039" spans="2:3" ht="15" customHeight="1">
      <c r="B2039" s="548"/>
      <c r="C2039" s="549"/>
    </row>
    <row r="2040" spans="2:3" ht="15" customHeight="1">
      <c r="B2040" s="548"/>
      <c r="C2040" s="549"/>
    </row>
    <row r="2041" spans="2:3" ht="15" customHeight="1">
      <c r="B2041" s="548"/>
      <c r="C2041" s="549"/>
    </row>
    <row r="2042" spans="2:3" ht="15" customHeight="1">
      <c r="B2042" s="548"/>
      <c r="C2042" s="549"/>
    </row>
    <row r="2043" spans="2:3" ht="15" customHeight="1">
      <c r="B2043" s="548"/>
      <c r="C2043" s="549"/>
    </row>
    <row r="2044" spans="2:3" ht="15" customHeight="1">
      <c r="B2044" s="548"/>
      <c r="C2044" s="549"/>
    </row>
    <row r="2045" spans="2:3" ht="15" customHeight="1">
      <c r="B2045" s="548"/>
      <c r="C2045" s="549"/>
    </row>
    <row r="2046" spans="2:3" ht="15" customHeight="1">
      <c r="B2046" s="548"/>
      <c r="C2046" s="549"/>
    </row>
    <row r="2047" spans="2:3" ht="15" customHeight="1">
      <c r="B2047" s="548"/>
      <c r="C2047" s="549"/>
    </row>
    <row r="2048" spans="2:3" ht="15" customHeight="1">
      <c r="B2048" s="548"/>
      <c r="C2048" s="549"/>
    </row>
    <row r="2049" spans="2:3" ht="15" customHeight="1">
      <c r="B2049" s="548"/>
      <c r="C2049" s="549"/>
    </row>
    <row r="2050" spans="2:3" ht="15" customHeight="1">
      <c r="B2050" s="548"/>
      <c r="C2050" s="549"/>
    </row>
    <row r="2051" spans="2:3" ht="15" customHeight="1">
      <c r="B2051" s="548"/>
      <c r="C2051" s="549"/>
    </row>
    <row r="2052" spans="2:3" ht="15" customHeight="1">
      <c r="B2052" s="548"/>
      <c r="C2052" s="549"/>
    </row>
    <row r="2053" spans="2:3" ht="15" customHeight="1">
      <c r="B2053" s="548"/>
      <c r="C2053" s="549"/>
    </row>
    <row r="2054" spans="2:3" ht="15" customHeight="1">
      <c r="B2054" s="548"/>
      <c r="C2054" s="549"/>
    </row>
    <row r="2055" spans="2:3" ht="15" customHeight="1">
      <c r="B2055" s="548"/>
      <c r="C2055" s="549"/>
    </row>
    <row r="2056" spans="2:3" ht="15" customHeight="1">
      <c r="B2056" s="548"/>
      <c r="C2056" s="549"/>
    </row>
    <row r="2057" spans="2:3" ht="15" customHeight="1">
      <c r="B2057" s="548"/>
      <c r="C2057" s="549"/>
    </row>
    <row r="2058" spans="2:3" ht="15" customHeight="1">
      <c r="B2058" s="548"/>
      <c r="C2058" s="549"/>
    </row>
    <row r="2059" spans="2:3" ht="15" customHeight="1">
      <c r="B2059" s="548"/>
      <c r="C2059" s="549"/>
    </row>
    <row r="2060" spans="2:3" ht="15" customHeight="1">
      <c r="B2060" s="548"/>
      <c r="C2060" s="549"/>
    </row>
    <row r="2061" spans="2:3" ht="15" customHeight="1">
      <c r="B2061" s="548"/>
      <c r="C2061" s="549"/>
    </row>
    <row r="2062" spans="2:3" ht="15" customHeight="1">
      <c r="B2062" s="548"/>
      <c r="C2062" s="549"/>
    </row>
    <row r="2063" spans="2:3" ht="15" customHeight="1">
      <c r="B2063" s="548"/>
      <c r="C2063" s="549"/>
    </row>
    <row r="2064" spans="2:3" ht="15" customHeight="1">
      <c r="B2064" s="548"/>
      <c r="C2064" s="549"/>
    </row>
    <row r="2065" spans="2:3" ht="15" customHeight="1">
      <c r="B2065" s="548"/>
      <c r="C2065" s="549"/>
    </row>
    <row r="2066" spans="2:3" ht="15" customHeight="1">
      <c r="B2066" s="548"/>
      <c r="C2066" s="549"/>
    </row>
    <row r="2067" spans="2:3" ht="15" customHeight="1">
      <c r="B2067" s="548"/>
      <c r="C2067" s="549"/>
    </row>
    <row r="2068" spans="2:3" ht="15" customHeight="1">
      <c r="B2068" s="548"/>
      <c r="C2068" s="549"/>
    </row>
    <row r="2069" spans="2:3" ht="15" customHeight="1">
      <c r="B2069" s="548"/>
      <c r="C2069" s="549"/>
    </row>
    <row r="2070" spans="2:3" ht="15" customHeight="1">
      <c r="B2070" s="548"/>
      <c r="C2070" s="549"/>
    </row>
    <row r="2071" spans="2:3" ht="15" customHeight="1">
      <c r="B2071" s="548"/>
      <c r="C2071" s="549"/>
    </row>
    <row r="2072" spans="2:3" ht="15" customHeight="1">
      <c r="B2072" s="548"/>
      <c r="C2072" s="549"/>
    </row>
    <row r="2073" spans="2:3" ht="15" customHeight="1">
      <c r="B2073" s="548"/>
      <c r="C2073" s="549"/>
    </row>
    <row r="2074" spans="2:3" ht="15" customHeight="1">
      <c r="B2074" s="548"/>
      <c r="C2074" s="549"/>
    </row>
    <row r="2075" spans="2:3" ht="15" customHeight="1">
      <c r="B2075" s="548"/>
      <c r="C2075" s="549"/>
    </row>
    <row r="2076" spans="2:3" ht="15" customHeight="1">
      <c r="B2076" s="548"/>
      <c r="C2076" s="549"/>
    </row>
    <row r="2077" spans="2:3" ht="15" customHeight="1">
      <c r="B2077" s="548"/>
      <c r="C2077" s="549"/>
    </row>
    <row r="2078" spans="2:3" ht="15" customHeight="1">
      <c r="B2078" s="548"/>
      <c r="C2078" s="549"/>
    </row>
    <row r="2079" spans="2:3" ht="15" customHeight="1">
      <c r="B2079" s="548"/>
      <c r="C2079" s="549"/>
    </row>
    <row r="2080" spans="2:3" ht="15" customHeight="1">
      <c r="B2080" s="548"/>
      <c r="C2080" s="549"/>
    </row>
    <row r="2081" spans="2:3" ht="15" customHeight="1">
      <c r="B2081" s="548"/>
      <c r="C2081" s="549"/>
    </row>
    <row r="2082" spans="2:3" ht="15" customHeight="1">
      <c r="B2082" s="548"/>
      <c r="C2082" s="549"/>
    </row>
    <row r="2083" spans="2:3" ht="15" customHeight="1">
      <c r="B2083" s="548"/>
      <c r="C2083" s="549"/>
    </row>
    <row r="2084" spans="2:3" ht="15" customHeight="1">
      <c r="B2084" s="548"/>
      <c r="C2084" s="549"/>
    </row>
    <row r="2085" spans="2:3" ht="15" customHeight="1">
      <c r="B2085" s="548"/>
      <c r="C2085" s="549"/>
    </row>
    <row r="2086" spans="2:3" ht="15" customHeight="1">
      <c r="B2086" s="548"/>
      <c r="C2086" s="549"/>
    </row>
    <row r="2087" spans="2:3" ht="15" customHeight="1">
      <c r="B2087" s="548"/>
      <c r="C2087" s="549"/>
    </row>
    <row r="2088" spans="2:3" ht="15" customHeight="1">
      <c r="B2088" s="548"/>
      <c r="C2088" s="549"/>
    </row>
    <row r="2089" spans="2:3" ht="15" customHeight="1">
      <c r="B2089" s="548"/>
      <c r="C2089" s="549"/>
    </row>
    <row r="2090" spans="2:3" ht="15" customHeight="1">
      <c r="B2090" s="548"/>
      <c r="C2090" s="549"/>
    </row>
    <row r="2091" spans="2:3" ht="15" customHeight="1">
      <c r="B2091" s="548"/>
      <c r="C2091" s="549"/>
    </row>
    <row r="2092" spans="2:3" ht="15" customHeight="1">
      <c r="B2092" s="548"/>
      <c r="C2092" s="549"/>
    </row>
    <row r="2093" spans="2:3" ht="15" customHeight="1">
      <c r="B2093" s="548"/>
      <c r="C2093" s="549"/>
    </row>
    <row r="2094" spans="2:3" ht="15" customHeight="1">
      <c r="B2094" s="548"/>
      <c r="C2094" s="549"/>
    </row>
    <row r="2095" spans="2:3" ht="15" customHeight="1">
      <c r="B2095" s="548"/>
      <c r="C2095" s="549"/>
    </row>
    <row r="2096" spans="2:3" ht="15" customHeight="1">
      <c r="B2096" s="548"/>
      <c r="C2096" s="549"/>
    </row>
    <row r="2097" spans="2:3" ht="15" customHeight="1">
      <c r="B2097" s="548"/>
      <c r="C2097" s="549"/>
    </row>
    <row r="2098" spans="2:3" ht="15" customHeight="1">
      <c r="B2098" s="548"/>
      <c r="C2098" s="549"/>
    </row>
    <row r="2099" spans="2:3" ht="15" customHeight="1">
      <c r="B2099" s="548"/>
      <c r="C2099" s="549"/>
    </row>
    <row r="2100" spans="2:3" ht="15" customHeight="1">
      <c r="B2100" s="548"/>
      <c r="C2100" s="549"/>
    </row>
    <row r="2101" spans="2:3" ht="15" customHeight="1">
      <c r="B2101" s="548"/>
      <c r="C2101" s="549"/>
    </row>
    <row r="2102" spans="2:3" ht="15" customHeight="1">
      <c r="B2102" s="548"/>
      <c r="C2102" s="549"/>
    </row>
    <row r="2103" spans="2:3" ht="15" customHeight="1">
      <c r="B2103" s="548"/>
      <c r="C2103" s="549"/>
    </row>
    <row r="2104" spans="2:3" ht="15" customHeight="1">
      <c r="B2104" s="548"/>
      <c r="C2104" s="549"/>
    </row>
    <row r="2105" spans="2:3" ht="15" customHeight="1">
      <c r="B2105" s="548"/>
      <c r="C2105" s="549"/>
    </row>
    <row r="2106" spans="2:3" ht="15" customHeight="1">
      <c r="B2106" s="548"/>
      <c r="C2106" s="549"/>
    </row>
    <row r="2107" spans="2:3" ht="15" customHeight="1">
      <c r="B2107" s="548"/>
      <c r="C2107" s="549"/>
    </row>
    <row r="2108" spans="2:3" ht="15" customHeight="1">
      <c r="B2108" s="548"/>
      <c r="C2108" s="549"/>
    </row>
    <row r="2109" spans="2:3" ht="15" customHeight="1">
      <c r="B2109" s="548"/>
      <c r="C2109" s="549"/>
    </row>
    <row r="2110" spans="2:3" ht="15" customHeight="1">
      <c r="B2110" s="548"/>
      <c r="C2110" s="549"/>
    </row>
    <row r="2111" spans="2:3" ht="15" customHeight="1">
      <c r="B2111" s="548"/>
      <c r="C2111" s="549"/>
    </row>
    <row r="2112" spans="2:3" ht="15" customHeight="1">
      <c r="B2112" s="548"/>
      <c r="C2112" s="549"/>
    </row>
    <row r="2113" spans="2:3" ht="15" customHeight="1">
      <c r="B2113" s="548"/>
      <c r="C2113" s="549"/>
    </row>
    <row r="2114" spans="2:3" ht="15" customHeight="1">
      <c r="B2114" s="548"/>
      <c r="C2114" s="549"/>
    </row>
    <row r="2115" spans="2:3" ht="15" customHeight="1">
      <c r="B2115" s="548"/>
      <c r="C2115" s="549"/>
    </row>
    <row r="2116" spans="2:3" ht="15" customHeight="1">
      <c r="B2116" s="548"/>
      <c r="C2116" s="549"/>
    </row>
    <row r="2117" spans="2:3" ht="15" customHeight="1">
      <c r="B2117" s="548"/>
      <c r="C2117" s="549"/>
    </row>
    <row r="2118" spans="2:3" ht="15" customHeight="1">
      <c r="B2118" s="548"/>
      <c r="C2118" s="549"/>
    </row>
    <row r="2119" spans="2:3" ht="15" customHeight="1">
      <c r="B2119" s="548"/>
      <c r="C2119" s="549"/>
    </row>
    <row r="2120" spans="2:3" ht="15" customHeight="1">
      <c r="B2120" s="548"/>
      <c r="C2120" s="549"/>
    </row>
    <row r="2121" spans="2:3" ht="15" customHeight="1">
      <c r="B2121" s="548"/>
      <c r="C2121" s="549"/>
    </row>
    <row r="2122" spans="2:3" ht="15" customHeight="1">
      <c r="B2122" s="548"/>
      <c r="C2122" s="549"/>
    </row>
    <row r="2123" spans="2:3" ht="15" customHeight="1">
      <c r="B2123" s="548"/>
      <c r="C2123" s="549"/>
    </row>
    <row r="2124" spans="2:3" ht="15" customHeight="1">
      <c r="B2124" s="548"/>
      <c r="C2124" s="549"/>
    </row>
    <row r="2125" spans="2:3" ht="15" customHeight="1">
      <c r="B2125" s="548"/>
      <c r="C2125" s="549"/>
    </row>
    <row r="2126" spans="2:3" ht="15" customHeight="1">
      <c r="B2126" s="548"/>
      <c r="C2126" s="549"/>
    </row>
    <row r="2127" spans="2:3" ht="15" customHeight="1">
      <c r="B2127" s="548"/>
      <c r="C2127" s="549"/>
    </row>
    <row r="2128" spans="2:3" ht="15" customHeight="1">
      <c r="B2128" s="548"/>
      <c r="C2128" s="549"/>
    </row>
    <row r="2129" spans="2:3" ht="15" customHeight="1">
      <c r="B2129" s="548"/>
      <c r="C2129" s="549"/>
    </row>
    <row r="2130" spans="2:3" ht="15" customHeight="1">
      <c r="B2130" s="548"/>
      <c r="C2130" s="549"/>
    </row>
    <row r="2131" spans="2:3" ht="15" customHeight="1">
      <c r="B2131" s="548"/>
      <c r="C2131" s="549"/>
    </row>
    <row r="2132" spans="2:3" ht="15" customHeight="1">
      <c r="B2132" s="548"/>
      <c r="C2132" s="549"/>
    </row>
    <row r="2133" spans="2:3" ht="15" customHeight="1">
      <c r="B2133" s="548"/>
      <c r="C2133" s="549"/>
    </row>
    <row r="2134" spans="2:3" ht="15" customHeight="1">
      <c r="B2134" s="548"/>
      <c r="C2134" s="549"/>
    </row>
    <row r="2135" spans="2:3" ht="15" customHeight="1">
      <c r="B2135" s="548"/>
      <c r="C2135" s="549"/>
    </row>
    <row r="2136" spans="2:3" ht="15" customHeight="1">
      <c r="B2136" s="548"/>
      <c r="C2136" s="549"/>
    </row>
    <row r="2137" spans="2:3" ht="15" customHeight="1">
      <c r="B2137" s="548"/>
      <c r="C2137" s="549"/>
    </row>
    <row r="2138" spans="2:3" ht="15" customHeight="1">
      <c r="B2138" s="548"/>
      <c r="C2138" s="549"/>
    </row>
    <row r="2139" spans="2:3" ht="15" customHeight="1">
      <c r="B2139" s="548"/>
      <c r="C2139" s="549"/>
    </row>
    <row r="2140" spans="2:3" ht="15" customHeight="1">
      <c r="B2140" s="548"/>
      <c r="C2140" s="549"/>
    </row>
    <row r="2141" spans="2:3" ht="15" customHeight="1">
      <c r="B2141" s="548"/>
      <c r="C2141" s="549"/>
    </row>
    <row r="2142" spans="2:3" ht="15" customHeight="1">
      <c r="B2142" s="548"/>
      <c r="C2142" s="549"/>
    </row>
    <row r="2143" spans="2:3" ht="15" customHeight="1">
      <c r="B2143" s="548"/>
      <c r="C2143" s="549"/>
    </row>
    <row r="2144" spans="2:3" ht="15" customHeight="1">
      <c r="B2144" s="548"/>
      <c r="C2144" s="549"/>
    </row>
    <row r="2145" spans="2:3" ht="15" customHeight="1">
      <c r="B2145" s="548"/>
      <c r="C2145" s="549"/>
    </row>
    <row r="2146" spans="2:3" ht="15" customHeight="1">
      <c r="B2146" s="548"/>
      <c r="C2146" s="549"/>
    </row>
    <row r="2147" spans="2:3" ht="15" customHeight="1">
      <c r="B2147" s="548"/>
      <c r="C2147" s="549"/>
    </row>
    <row r="2148" spans="2:3" ht="15" customHeight="1">
      <c r="B2148" s="548"/>
      <c r="C2148" s="549"/>
    </row>
    <row r="2149" spans="2:3" ht="15" customHeight="1">
      <c r="B2149" s="548"/>
      <c r="C2149" s="549"/>
    </row>
    <row r="2150" spans="2:3" ht="15" customHeight="1">
      <c r="B2150" s="548"/>
      <c r="C2150" s="549"/>
    </row>
    <row r="2151" spans="2:3" ht="15" customHeight="1">
      <c r="B2151" s="548"/>
      <c r="C2151" s="549"/>
    </row>
    <row r="2152" spans="2:3" ht="15" customHeight="1">
      <c r="B2152" s="548"/>
      <c r="C2152" s="549"/>
    </row>
    <row r="2153" spans="2:3" ht="15" customHeight="1">
      <c r="B2153" s="548"/>
      <c r="C2153" s="549"/>
    </row>
    <row r="2154" spans="2:3" ht="15" customHeight="1">
      <c r="B2154" s="548"/>
      <c r="C2154" s="549"/>
    </row>
    <row r="2155" spans="2:3" ht="15" customHeight="1">
      <c r="B2155" s="548"/>
      <c r="C2155" s="549"/>
    </row>
    <row r="2156" spans="2:3" ht="15" customHeight="1">
      <c r="B2156" s="548"/>
      <c r="C2156" s="549"/>
    </row>
    <row r="2157" spans="2:3" ht="15" customHeight="1">
      <c r="B2157" s="548"/>
      <c r="C2157" s="549"/>
    </row>
    <row r="2158" spans="2:3" ht="15" customHeight="1">
      <c r="B2158" s="548"/>
      <c r="C2158" s="549"/>
    </row>
    <row r="2159" spans="2:3" ht="15" customHeight="1">
      <c r="B2159" s="548"/>
      <c r="C2159" s="549"/>
    </row>
    <row r="2160" spans="2:3" ht="15" customHeight="1">
      <c r="B2160" s="548"/>
      <c r="C2160" s="549"/>
    </row>
    <row r="2161" spans="2:3" ht="15" customHeight="1">
      <c r="B2161" s="548"/>
      <c r="C2161" s="549"/>
    </row>
    <row r="2162" spans="2:3" ht="15" customHeight="1">
      <c r="B2162" s="548"/>
      <c r="C2162" s="549"/>
    </row>
    <row r="2163" spans="2:3" ht="15" customHeight="1">
      <c r="B2163" s="548"/>
      <c r="C2163" s="549"/>
    </row>
    <row r="2164" spans="2:3" ht="15" customHeight="1">
      <c r="B2164" s="548"/>
      <c r="C2164" s="549"/>
    </row>
    <row r="2165" spans="2:3" ht="15" customHeight="1">
      <c r="B2165" s="548"/>
      <c r="C2165" s="549"/>
    </row>
    <row r="2166" spans="2:3" ht="15" customHeight="1">
      <c r="B2166" s="548"/>
      <c r="C2166" s="549"/>
    </row>
    <row r="2167" spans="2:3" ht="15" customHeight="1">
      <c r="B2167" s="548"/>
      <c r="C2167" s="549"/>
    </row>
    <row r="2168" spans="2:3" ht="15" customHeight="1">
      <c r="B2168" s="548"/>
      <c r="C2168" s="549"/>
    </row>
    <row r="2169" spans="2:3" ht="15" customHeight="1">
      <c r="B2169" s="548"/>
      <c r="C2169" s="549"/>
    </row>
    <row r="2170" spans="2:3" ht="15" customHeight="1">
      <c r="B2170" s="548"/>
      <c r="C2170" s="549"/>
    </row>
    <row r="2171" spans="2:3" ht="15" customHeight="1">
      <c r="B2171" s="548"/>
      <c r="C2171" s="549"/>
    </row>
    <row r="2172" spans="2:3" ht="15" customHeight="1">
      <c r="B2172" s="548"/>
      <c r="C2172" s="549"/>
    </row>
    <row r="2173" spans="2:3" ht="15" customHeight="1">
      <c r="B2173" s="548"/>
      <c r="C2173" s="549"/>
    </row>
    <row r="2174" spans="2:3" ht="15" customHeight="1">
      <c r="B2174" s="548"/>
      <c r="C2174" s="549"/>
    </row>
    <row r="2175" spans="2:3" ht="15" customHeight="1">
      <c r="B2175" s="548"/>
      <c r="C2175" s="549"/>
    </row>
    <row r="2176" spans="2:3" ht="15" customHeight="1">
      <c r="B2176" s="548"/>
      <c r="C2176" s="549"/>
    </row>
    <row r="2177" spans="2:3" ht="15" customHeight="1">
      <c r="B2177" s="548"/>
      <c r="C2177" s="549"/>
    </row>
    <row r="2178" spans="2:3" ht="15" customHeight="1">
      <c r="B2178" s="548"/>
      <c r="C2178" s="549"/>
    </row>
    <row r="2179" spans="2:3" ht="15" customHeight="1">
      <c r="B2179" s="548"/>
      <c r="C2179" s="549"/>
    </row>
    <row r="2180" spans="2:3" ht="15" customHeight="1">
      <c r="B2180" s="548"/>
      <c r="C2180" s="549"/>
    </row>
    <row r="2181" spans="2:3" ht="15" customHeight="1">
      <c r="B2181" s="548"/>
      <c r="C2181" s="549"/>
    </row>
    <row r="2182" spans="2:3" ht="15" customHeight="1">
      <c r="B2182" s="548"/>
      <c r="C2182" s="549"/>
    </row>
    <row r="2183" spans="2:3" ht="15" customHeight="1">
      <c r="B2183" s="548"/>
      <c r="C2183" s="549"/>
    </row>
    <row r="2184" spans="2:3" ht="15" customHeight="1">
      <c r="B2184" s="548"/>
      <c r="C2184" s="549"/>
    </row>
    <row r="2185" spans="2:3" ht="15" customHeight="1">
      <c r="B2185" s="548"/>
      <c r="C2185" s="549"/>
    </row>
    <row r="2186" spans="2:3" ht="15" customHeight="1">
      <c r="B2186" s="548"/>
      <c r="C2186" s="549"/>
    </row>
    <row r="2187" spans="2:3" ht="15" customHeight="1">
      <c r="B2187" s="548"/>
      <c r="C2187" s="549"/>
    </row>
    <row r="2188" spans="2:3" ht="15" customHeight="1">
      <c r="B2188" s="548"/>
      <c r="C2188" s="549"/>
    </row>
    <row r="2189" spans="2:3" ht="15" customHeight="1">
      <c r="B2189" s="548"/>
      <c r="C2189" s="549"/>
    </row>
    <row r="2190" spans="2:3" ht="15" customHeight="1">
      <c r="B2190" s="548"/>
      <c r="C2190" s="549"/>
    </row>
    <row r="2191" spans="2:3" ht="15" customHeight="1">
      <c r="B2191" s="548"/>
      <c r="C2191" s="549"/>
    </row>
    <row r="2192" spans="2:3" ht="15" customHeight="1">
      <c r="B2192" s="548"/>
      <c r="C2192" s="549"/>
    </row>
    <row r="2193" spans="2:3" ht="15" customHeight="1">
      <c r="B2193" s="548"/>
      <c r="C2193" s="549"/>
    </row>
    <row r="2194" spans="2:3" ht="15" customHeight="1">
      <c r="B2194" s="548"/>
      <c r="C2194" s="549"/>
    </row>
    <row r="2195" spans="2:3" ht="15" customHeight="1">
      <c r="B2195" s="548"/>
      <c r="C2195" s="549"/>
    </row>
    <row r="2196" spans="2:3" ht="15" customHeight="1">
      <c r="B2196" s="548"/>
      <c r="C2196" s="549"/>
    </row>
    <row r="2197" spans="2:3" ht="15" customHeight="1">
      <c r="B2197" s="548"/>
      <c r="C2197" s="549"/>
    </row>
    <row r="2198" spans="2:3" ht="15" customHeight="1">
      <c r="B2198" s="548"/>
      <c r="C2198" s="549"/>
    </row>
    <row r="2199" spans="2:3" ht="15" customHeight="1">
      <c r="B2199" s="548"/>
      <c r="C2199" s="549"/>
    </row>
    <row r="2200" spans="2:3" ht="15" customHeight="1">
      <c r="B2200" s="548"/>
      <c r="C2200" s="549"/>
    </row>
    <row r="2201" spans="2:3" ht="15" customHeight="1">
      <c r="B2201" s="548"/>
      <c r="C2201" s="549"/>
    </row>
    <row r="2202" spans="2:3" ht="15" customHeight="1">
      <c r="B2202" s="548"/>
      <c r="C2202" s="549"/>
    </row>
    <row r="2203" spans="2:3" ht="15" customHeight="1">
      <c r="B2203" s="548"/>
      <c r="C2203" s="549"/>
    </row>
    <row r="2204" spans="2:3" ht="15" customHeight="1">
      <c r="B2204" s="548"/>
      <c r="C2204" s="549"/>
    </row>
    <row r="2205" spans="2:3" ht="15" customHeight="1">
      <c r="B2205" s="548"/>
      <c r="C2205" s="549"/>
    </row>
    <row r="2206" spans="2:3" ht="15" customHeight="1">
      <c r="B2206" s="548"/>
      <c r="C2206" s="549"/>
    </row>
    <row r="2207" spans="2:3" ht="15" customHeight="1">
      <c r="B2207" s="548"/>
      <c r="C2207" s="549"/>
    </row>
    <row r="2208" spans="2:3" ht="15" customHeight="1">
      <c r="B2208" s="548"/>
      <c r="C2208" s="549"/>
    </row>
    <row r="2209" spans="2:3" ht="15" customHeight="1">
      <c r="B2209" s="548"/>
      <c r="C2209" s="549"/>
    </row>
    <row r="2210" spans="2:3" ht="15" customHeight="1">
      <c r="B2210" s="548"/>
      <c r="C2210" s="549"/>
    </row>
    <row r="2211" spans="2:3" ht="15" customHeight="1">
      <c r="B2211" s="548"/>
      <c r="C2211" s="549"/>
    </row>
    <row r="2212" spans="2:3" ht="15" customHeight="1">
      <c r="B2212" s="548"/>
      <c r="C2212" s="549"/>
    </row>
    <row r="2213" spans="2:3" ht="15" customHeight="1">
      <c r="B2213" s="548"/>
      <c r="C2213" s="549"/>
    </row>
    <row r="2214" spans="2:3" ht="15" customHeight="1">
      <c r="B2214" s="548"/>
      <c r="C2214" s="549"/>
    </row>
    <row r="2215" spans="2:3" ht="15" customHeight="1">
      <c r="B2215" s="548"/>
      <c r="C2215" s="549"/>
    </row>
    <row r="2216" spans="2:3" ht="15" customHeight="1">
      <c r="B2216" s="548"/>
      <c r="C2216" s="549"/>
    </row>
    <row r="2217" spans="2:3" ht="15" customHeight="1">
      <c r="B2217" s="548"/>
      <c r="C2217" s="549"/>
    </row>
    <row r="2218" spans="2:3" ht="15" customHeight="1">
      <c r="B2218" s="548"/>
      <c r="C2218" s="549"/>
    </row>
    <row r="2219" spans="2:3" ht="15" customHeight="1">
      <c r="B2219" s="548"/>
      <c r="C2219" s="549"/>
    </row>
    <row r="2220" spans="2:3" ht="15" customHeight="1">
      <c r="B2220" s="548"/>
      <c r="C2220" s="549"/>
    </row>
    <row r="2221" spans="2:3" ht="15" customHeight="1">
      <c r="B2221" s="548"/>
      <c r="C2221" s="549"/>
    </row>
    <row r="2222" spans="2:3" ht="15" customHeight="1">
      <c r="B2222" s="548"/>
      <c r="C2222" s="549"/>
    </row>
    <row r="2223" spans="2:3" ht="15" customHeight="1">
      <c r="B2223" s="548"/>
      <c r="C2223" s="549"/>
    </row>
    <row r="2224" spans="2:3" ht="15" customHeight="1">
      <c r="B2224" s="548"/>
      <c r="C2224" s="549"/>
    </row>
    <row r="2225" spans="2:3" ht="15" customHeight="1">
      <c r="B2225" s="548"/>
      <c r="C2225" s="549"/>
    </row>
    <row r="2226" spans="2:3" ht="15" customHeight="1">
      <c r="B2226" s="548"/>
      <c r="C2226" s="549"/>
    </row>
    <row r="2227" spans="2:3" ht="15" customHeight="1">
      <c r="B2227" s="548"/>
      <c r="C2227" s="549"/>
    </row>
    <row r="2228" spans="2:3" ht="15" customHeight="1">
      <c r="B2228" s="548"/>
      <c r="C2228" s="549"/>
    </row>
    <row r="2229" spans="2:3" ht="15" customHeight="1">
      <c r="B2229" s="548"/>
      <c r="C2229" s="549"/>
    </row>
    <row r="2230" spans="2:3" ht="15" customHeight="1">
      <c r="B2230" s="548"/>
      <c r="C2230" s="549"/>
    </row>
    <row r="2231" spans="2:3" ht="15" customHeight="1">
      <c r="B2231" s="548"/>
      <c r="C2231" s="549"/>
    </row>
    <row r="2232" spans="2:3" ht="15" customHeight="1">
      <c r="B2232" s="548"/>
      <c r="C2232" s="549"/>
    </row>
    <row r="2233" spans="2:3" ht="15" customHeight="1">
      <c r="B2233" s="548"/>
      <c r="C2233" s="549"/>
    </row>
    <row r="2234" spans="2:3" ht="15" customHeight="1">
      <c r="B2234" s="548"/>
      <c r="C2234" s="549"/>
    </row>
    <row r="2235" spans="2:3" ht="15" customHeight="1">
      <c r="B2235" s="548"/>
      <c r="C2235" s="549"/>
    </row>
    <row r="2236" spans="2:3" ht="15" customHeight="1">
      <c r="B2236" s="548"/>
      <c r="C2236" s="549"/>
    </row>
    <row r="2237" spans="2:3" ht="15" customHeight="1">
      <c r="B2237" s="548"/>
      <c r="C2237" s="549"/>
    </row>
    <row r="2238" spans="2:3" ht="15" customHeight="1">
      <c r="B2238" s="548"/>
      <c r="C2238" s="549"/>
    </row>
    <row r="2239" spans="2:3" ht="15" customHeight="1">
      <c r="B2239" s="548"/>
      <c r="C2239" s="549"/>
    </row>
    <row r="2240" spans="2:3" ht="15" customHeight="1">
      <c r="B2240" s="548"/>
      <c r="C2240" s="549"/>
    </row>
    <row r="2241" spans="2:3" ht="15" customHeight="1">
      <c r="B2241" s="548"/>
      <c r="C2241" s="549"/>
    </row>
    <row r="2242" spans="2:3" ht="15" customHeight="1">
      <c r="B2242" s="548"/>
      <c r="C2242" s="549"/>
    </row>
    <row r="2243" spans="2:3" ht="15" customHeight="1">
      <c r="B2243" s="548"/>
      <c r="C2243" s="549"/>
    </row>
    <row r="2244" spans="2:3" ht="15" customHeight="1">
      <c r="B2244" s="548"/>
      <c r="C2244" s="549"/>
    </row>
    <row r="2245" spans="2:3" ht="15" customHeight="1">
      <c r="B2245" s="548"/>
      <c r="C2245" s="549"/>
    </row>
    <row r="2246" spans="2:3" ht="15" customHeight="1">
      <c r="B2246" s="548"/>
      <c r="C2246" s="549"/>
    </row>
    <row r="2247" spans="2:3" ht="15" customHeight="1">
      <c r="B2247" s="548"/>
      <c r="C2247" s="549"/>
    </row>
    <row r="2248" spans="2:3" ht="15" customHeight="1">
      <c r="B2248" s="548"/>
      <c r="C2248" s="549"/>
    </row>
    <row r="2249" spans="2:3" ht="15" customHeight="1">
      <c r="B2249" s="548"/>
      <c r="C2249" s="549"/>
    </row>
    <row r="2250" spans="2:3" ht="15" customHeight="1">
      <c r="B2250" s="548"/>
      <c r="C2250" s="549"/>
    </row>
    <row r="2251" spans="2:3" ht="15" customHeight="1">
      <c r="B2251" s="548"/>
      <c r="C2251" s="549"/>
    </row>
    <row r="2252" spans="2:3" ht="15" customHeight="1">
      <c r="B2252" s="548"/>
      <c r="C2252" s="549"/>
    </row>
    <row r="2253" spans="2:3" ht="15" customHeight="1">
      <c r="B2253" s="548"/>
      <c r="C2253" s="549"/>
    </row>
    <row r="2254" spans="2:3" ht="15" customHeight="1">
      <c r="B2254" s="548"/>
      <c r="C2254" s="549"/>
    </row>
    <row r="2255" spans="2:3" ht="15" customHeight="1">
      <c r="B2255" s="548"/>
      <c r="C2255" s="549"/>
    </row>
    <row r="2256" spans="2:3" ht="15" customHeight="1">
      <c r="B2256" s="548"/>
      <c r="C2256" s="549"/>
    </row>
    <row r="2257" spans="2:3" ht="15" customHeight="1">
      <c r="B2257" s="548"/>
      <c r="C2257" s="549"/>
    </row>
    <row r="2258" spans="2:3" ht="15" customHeight="1">
      <c r="B2258" s="548"/>
      <c r="C2258" s="549"/>
    </row>
    <row r="2259" spans="2:3" ht="15" customHeight="1">
      <c r="B2259" s="548"/>
      <c r="C2259" s="549"/>
    </row>
    <row r="2260" spans="2:3" ht="15" customHeight="1">
      <c r="B2260" s="548"/>
      <c r="C2260" s="549"/>
    </row>
    <row r="2261" spans="2:3" ht="15" customHeight="1">
      <c r="B2261" s="548"/>
      <c r="C2261" s="549"/>
    </row>
    <row r="2262" spans="2:3" ht="15" customHeight="1">
      <c r="B2262" s="548"/>
      <c r="C2262" s="549"/>
    </row>
    <row r="2263" spans="2:3" ht="15" customHeight="1">
      <c r="B2263" s="548"/>
      <c r="C2263" s="549"/>
    </row>
    <row r="2264" spans="2:3" ht="15" customHeight="1">
      <c r="B2264" s="548"/>
      <c r="C2264" s="549"/>
    </row>
    <row r="2265" spans="2:3" ht="15" customHeight="1">
      <c r="B2265" s="548"/>
      <c r="C2265" s="549"/>
    </row>
    <row r="2266" spans="2:3" ht="15" customHeight="1">
      <c r="B2266" s="548"/>
      <c r="C2266" s="549"/>
    </row>
    <row r="2267" spans="2:3" ht="15" customHeight="1">
      <c r="B2267" s="548"/>
      <c r="C2267" s="549"/>
    </row>
    <row r="2268" spans="2:3" ht="15" customHeight="1">
      <c r="B2268" s="548"/>
      <c r="C2268" s="549"/>
    </row>
    <row r="2269" spans="2:3" ht="15" customHeight="1">
      <c r="B2269" s="548"/>
      <c r="C2269" s="549"/>
    </row>
    <row r="2270" spans="2:3" ht="15" customHeight="1">
      <c r="B2270" s="548"/>
      <c r="C2270" s="549"/>
    </row>
    <row r="2271" spans="2:3" ht="15" customHeight="1">
      <c r="B2271" s="548"/>
      <c r="C2271" s="549"/>
    </row>
    <row r="2272" spans="2:3" ht="15" customHeight="1">
      <c r="B2272" s="548"/>
      <c r="C2272" s="549"/>
    </row>
    <row r="2273" spans="2:3" ht="15" customHeight="1">
      <c r="B2273" s="548"/>
      <c r="C2273" s="549"/>
    </row>
    <row r="2274" spans="2:3" ht="15" customHeight="1">
      <c r="B2274" s="548"/>
      <c r="C2274" s="549"/>
    </row>
    <row r="2275" spans="2:3" ht="15" customHeight="1">
      <c r="B2275" s="548"/>
      <c r="C2275" s="549"/>
    </row>
    <row r="2276" spans="2:3" ht="15" customHeight="1">
      <c r="B2276" s="548"/>
      <c r="C2276" s="549"/>
    </row>
    <row r="2277" spans="2:3" ht="15" customHeight="1">
      <c r="B2277" s="548"/>
      <c r="C2277" s="549"/>
    </row>
    <row r="2278" spans="2:3" ht="15" customHeight="1">
      <c r="B2278" s="548"/>
      <c r="C2278" s="549"/>
    </row>
    <row r="2279" spans="2:3" ht="15" customHeight="1">
      <c r="B2279" s="548"/>
      <c r="C2279" s="549"/>
    </row>
    <row r="2280" spans="2:3" ht="15" customHeight="1">
      <c r="B2280" s="548"/>
      <c r="C2280" s="549"/>
    </row>
    <row r="2281" spans="2:3" ht="15" customHeight="1">
      <c r="B2281" s="548"/>
      <c r="C2281" s="549"/>
    </row>
    <row r="2282" spans="2:3" ht="15" customHeight="1">
      <c r="B2282" s="548"/>
      <c r="C2282" s="549"/>
    </row>
    <row r="2283" spans="2:3" ht="15" customHeight="1">
      <c r="B2283" s="548"/>
      <c r="C2283" s="549"/>
    </row>
    <row r="2284" spans="2:3" ht="15" customHeight="1">
      <c r="B2284" s="548"/>
      <c r="C2284" s="549"/>
    </row>
    <row r="2285" spans="2:3" ht="15" customHeight="1">
      <c r="B2285" s="548"/>
      <c r="C2285" s="549"/>
    </row>
    <row r="2286" spans="2:3" ht="15" customHeight="1">
      <c r="B2286" s="548"/>
      <c r="C2286" s="549"/>
    </row>
    <row r="2287" spans="2:3" ht="15" customHeight="1">
      <c r="B2287" s="548"/>
      <c r="C2287" s="549"/>
    </row>
    <row r="2288" spans="2:3" ht="15" customHeight="1">
      <c r="B2288" s="548"/>
      <c r="C2288" s="549"/>
    </row>
    <row r="2289" spans="2:3" ht="15" customHeight="1">
      <c r="B2289" s="548"/>
      <c r="C2289" s="549"/>
    </row>
    <row r="2290" spans="2:3" ht="15" customHeight="1">
      <c r="B2290" s="548"/>
      <c r="C2290" s="549"/>
    </row>
    <row r="2291" spans="2:3" ht="15" customHeight="1">
      <c r="B2291" s="548"/>
      <c r="C2291" s="549"/>
    </row>
    <row r="2292" spans="2:3" ht="15" customHeight="1">
      <c r="B2292" s="548"/>
      <c r="C2292" s="549"/>
    </row>
    <row r="2293" spans="2:3" ht="15" customHeight="1">
      <c r="B2293" s="548"/>
      <c r="C2293" s="549"/>
    </row>
    <row r="2294" spans="2:3" ht="15" customHeight="1">
      <c r="B2294" s="548"/>
      <c r="C2294" s="549"/>
    </row>
    <row r="2295" spans="2:3" ht="15" customHeight="1">
      <c r="B2295" s="548"/>
      <c r="C2295" s="549"/>
    </row>
    <row r="2296" spans="2:3" ht="15" customHeight="1">
      <c r="B2296" s="548"/>
      <c r="C2296" s="549"/>
    </row>
    <row r="2297" spans="2:3" ht="15" customHeight="1">
      <c r="B2297" s="548"/>
      <c r="C2297" s="549"/>
    </row>
    <row r="2298" spans="2:3" ht="15" customHeight="1">
      <c r="B2298" s="548"/>
      <c r="C2298" s="549"/>
    </row>
    <row r="2299" spans="2:3" ht="15" customHeight="1">
      <c r="B2299" s="548"/>
      <c r="C2299" s="549"/>
    </row>
    <row r="2300" spans="2:3" ht="15" customHeight="1">
      <c r="B2300" s="548"/>
      <c r="C2300" s="549"/>
    </row>
    <row r="2301" spans="2:3" ht="15" customHeight="1">
      <c r="B2301" s="548"/>
      <c r="C2301" s="549"/>
    </row>
    <row r="2302" spans="2:3" ht="15" customHeight="1">
      <c r="B2302" s="548"/>
      <c r="C2302" s="549"/>
    </row>
    <row r="2303" spans="2:3" ht="15" customHeight="1">
      <c r="B2303" s="548"/>
      <c r="C2303" s="549"/>
    </row>
    <row r="2304" spans="2:3" ht="15" customHeight="1">
      <c r="B2304" s="548"/>
      <c r="C2304" s="549"/>
    </row>
    <row r="2305" spans="2:3" ht="15" customHeight="1">
      <c r="B2305" s="548"/>
      <c r="C2305" s="549"/>
    </row>
    <row r="2306" spans="2:3" ht="15" customHeight="1">
      <c r="B2306" s="548"/>
      <c r="C2306" s="549"/>
    </row>
    <row r="2307" spans="2:3" ht="15" customHeight="1">
      <c r="B2307" s="548"/>
      <c r="C2307" s="549"/>
    </row>
    <row r="2308" spans="2:3" ht="15" customHeight="1">
      <c r="B2308" s="548"/>
      <c r="C2308" s="549"/>
    </row>
    <row r="2309" spans="2:3" ht="15" customHeight="1">
      <c r="B2309" s="548"/>
      <c r="C2309" s="549"/>
    </row>
    <row r="2310" spans="2:3" ht="15" customHeight="1">
      <c r="B2310" s="548"/>
      <c r="C2310" s="549"/>
    </row>
    <row r="2311" spans="2:3" ht="15" customHeight="1">
      <c r="B2311" s="548"/>
      <c r="C2311" s="549"/>
    </row>
    <row r="2312" spans="2:3" ht="15" customHeight="1">
      <c r="B2312" s="548"/>
      <c r="C2312" s="549"/>
    </row>
    <row r="2313" spans="2:3" ht="15" customHeight="1">
      <c r="B2313" s="548"/>
      <c r="C2313" s="549"/>
    </row>
    <row r="2314" spans="2:3" ht="15" customHeight="1">
      <c r="B2314" s="548"/>
      <c r="C2314" s="549"/>
    </row>
    <row r="2315" spans="2:3" ht="15" customHeight="1">
      <c r="B2315" s="548"/>
      <c r="C2315" s="549"/>
    </row>
    <row r="2316" spans="2:3" ht="15" customHeight="1">
      <c r="B2316" s="548"/>
      <c r="C2316" s="549"/>
    </row>
    <row r="2317" spans="2:3" ht="15" customHeight="1">
      <c r="B2317" s="548"/>
      <c r="C2317" s="549"/>
    </row>
    <row r="2318" spans="2:3" ht="15" customHeight="1">
      <c r="B2318" s="548"/>
      <c r="C2318" s="549"/>
    </row>
    <row r="2319" spans="2:3" ht="15" customHeight="1">
      <c r="B2319" s="548"/>
      <c r="C2319" s="549"/>
    </row>
    <row r="2320" spans="2:3" ht="15" customHeight="1">
      <c r="B2320" s="548"/>
      <c r="C2320" s="549"/>
    </row>
    <row r="2321" spans="2:3" ht="15" customHeight="1">
      <c r="B2321" s="548"/>
      <c r="C2321" s="549"/>
    </row>
    <row r="2322" spans="2:3" ht="15" customHeight="1">
      <c r="B2322" s="548"/>
      <c r="C2322" s="549"/>
    </row>
    <row r="2323" spans="2:3" ht="15" customHeight="1">
      <c r="B2323" s="548"/>
      <c r="C2323" s="549"/>
    </row>
    <row r="2324" spans="2:3" ht="15" customHeight="1">
      <c r="B2324" s="548"/>
      <c r="C2324" s="549"/>
    </row>
    <row r="2325" spans="2:3" ht="15" customHeight="1">
      <c r="B2325" s="548"/>
      <c r="C2325" s="549"/>
    </row>
    <row r="2326" spans="2:3" ht="15" customHeight="1">
      <c r="B2326" s="548"/>
      <c r="C2326" s="549"/>
    </row>
    <row r="2327" spans="2:3" ht="15" customHeight="1">
      <c r="B2327" s="548"/>
      <c r="C2327" s="549"/>
    </row>
    <row r="2328" spans="2:3" ht="15" customHeight="1">
      <c r="B2328" s="548"/>
      <c r="C2328" s="549"/>
    </row>
    <row r="2329" spans="2:3" ht="15" customHeight="1">
      <c r="B2329" s="548"/>
      <c r="C2329" s="549"/>
    </row>
    <row r="2330" spans="2:3" ht="15" customHeight="1">
      <c r="B2330" s="548"/>
      <c r="C2330" s="549"/>
    </row>
    <row r="2331" spans="2:3" ht="15" customHeight="1">
      <c r="B2331" s="548"/>
      <c r="C2331" s="549"/>
    </row>
    <row r="2332" spans="2:3" ht="15" customHeight="1">
      <c r="B2332" s="548"/>
      <c r="C2332" s="549"/>
    </row>
    <row r="2333" spans="2:3" ht="15" customHeight="1">
      <c r="B2333" s="548"/>
      <c r="C2333" s="549"/>
    </row>
    <row r="2334" spans="2:3" ht="15" customHeight="1">
      <c r="B2334" s="548"/>
      <c r="C2334" s="549"/>
    </row>
    <row r="2335" spans="2:3" ht="15" customHeight="1">
      <c r="B2335" s="548"/>
      <c r="C2335" s="549"/>
    </row>
    <row r="2336" spans="2:3" ht="15" customHeight="1">
      <c r="B2336" s="548"/>
      <c r="C2336" s="549"/>
    </row>
    <row r="2337" spans="2:3" ht="15" customHeight="1">
      <c r="B2337" s="548"/>
      <c r="C2337" s="549"/>
    </row>
    <row r="2338" spans="2:3" ht="15" customHeight="1">
      <c r="B2338" s="548"/>
      <c r="C2338" s="549"/>
    </row>
    <row r="2339" spans="2:3" ht="15" customHeight="1">
      <c r="B2339" s="548"/>
      <c r="C2339" s="549"/>
    </row>
    <row r="2340" spans="2:3" ht="15" customHeight="1">
      <c r="B2340" s="548"/>
      <c r="C2340" s="549"/>
    </row>
    <row r="2341" spans="2:3" ht="15" customHeight="1">
      <c r="B2341" s="548"/>
      <c r="C2341" s="549"/>
    </row>
    <row r="2342" spans="2:3" ht="15" customHeight="1">
      <c r="B2342" s="548"/>
      <c r="C2342" s="549"/>
    </row>
    <row r="2343" spans="2:3" ht="15" customHeight="1">
      <c r="B2343" s="548"/>
      <c r="C2343" s="549"/>
    </row>
    <row r="2344" spans="2:3" ht="15" customHeight="1">
      <c r="B2344" s="548"/>
      <c r="C2344" s="549"/>
    </row>
    <row r="2345" spans="2:3" ht="15" customHeight="1">
      <c r="B2345" s="548"/>
      <c r="C2345" s="549"/>
    </row>
    <row r="2346" spans="2:3" ht="15" customHeight="1">
      <c r="B2346" s="548"/>
      <c r="C2346" s="549"/>
    </row>
    <row r="2347" spans="2:3" ht="15" customHeight="1">
      <c r="B2347" s="548"/>
      <c r="C2347" s="549"/>
    </row>
    <row r="2348" spans="2:3" ht="15" customHeight="1">
      <c r="B2348" s="548"/>
      <c r="C2348" s="549"/>
    </row>
    <row r="2349" spans="2:3" ht="15" customHeight="1">
      <c r="B2349" s="548"/>
      <c r="C2349" s="549"/>
    </row>
    <row r="2350" spans="2:3" ht="15" customHeight="1">
      <c r="B2350" s="548"/>
      <c r="C2350" s="549"/>
    </row>
    <row r="2351" spans="2:3" ht="15" customHeight="1">
      <c r="B2351" s="548"/>
      <c r="C2351" s="549"/>
    </row>
    <row r="2352" spans="2:3" ht="15" customHeight="1">
      <c r="B2352" s="548"/>
      <c r="C2352" s="549"/>
    </row>
    <row r="2353" spans="2:3" ht="15" customHeight="1">
      <c r="B2353" s="548"/>
      <c r="C2353" s="549"/>
    </row>
    <row r="2354" spans="2:3" ht="15" customHeight="1">
      <c r="B2354" s="548"/>
      <c r="C2354" s="549"/>
    </row>
    <row r="2355" spans="2:3" ht="15" customHeight="1">
      <c r="B2355" s="548"/>
      <c r="C2355" s="549"/>
    </row>
    <row r="2356" spans="2:3" ht="15" customHeight="1">
      <c r="B2356" s="548"/>
      <c r="C2356" s="549"/>
    </row>
    <row r="2357" spans="2:3" ht="15" customHeight="1">
      <c r="B2357" s="548"/>
      <c r="C2357" s="549"/>
    </row>
    <row r="2358" spans="2:3" ht="15" customHeight="1">
      <c r="B2358" s="548"/>
      <c r="C2358" s="549"/>
    </row>
    <row r="2359" spans="2:3" ht="15" customHeight="1">
      <c r="B2359" s="548"/>
      <c r="C2359" s="549"/>
    </row>
    <row r="2360" spans="2:3" ht="15" customHeight="1">
      <c r="B2360" s="548"/>
      <c r="C2360" s="549"/>
    </row>
    <row r="2361" spans="2:3" ht="15" customHeight="1">
      <c r="B2361" s="548"/>
      <c r="C2361" s="549"/>
    </row>
    <row r="2362" spans="2:3" ht="15" customHeight="1">
      <c r="B2362" s="548"/>
      <c r="C2362" s="549"/>
    </row>
    <row r="2363" spans="2:3" ht="15" customHeight="1">
      <c r="B2363" s="548"/>
      <c r="C2363" s="549"/>
    </row>
    <row r="2364" spans="2:3" ht="15" customHeight="1">
      <c r="B2364" s="548"/>
      <c r="C2364" s="549"/>
    </row>
    <row r="2365" spans="2:3" ht="15" customHeight="1">
      <c r="B2365" s="548"/>
      <c r="C2365" s="549"/>
    </row>
    <row r="2366" spans="2:3" ht="15" customHeight="1">
      <c r="B2366" s="548"/>
      <c r="C2366" s="549"/>
    </row>
    <row r="2367" spans="2:3" ht="15" customHeight="1">
      <c r="B2367" s="548"/>
      <c r="C2367" s="549"/>
    </row>
    <row r="2368" spans="2:3" ht="15" customHeight="1">
      <c r="B2368" s="548"/>
      <c r="C2368" s="549"/>
    </row>
    <row r="2369" spans="2:3" ht="15" customHeight="1">
      <c r="B2369" s="548"/>
      <c r="C2369" s="549"/>
    </row>
    <row r="2370" spans="2:3" ht="15" customHeight="1">
      <c r="B2370" s="548"/>
      <c r="C2370" s="549"/>
    </row>
    <row r="2371" spans="2:3" ht="15" customHeight="1">
      <c r="B2371" s="548"/>
      <c r="C2371" s="549"/>
    </row>
    <row r="2372" spans="2:3" ht="15" customHeight="1">
      <c r="B2372" s="548"/>
      <c r="C2372" s="549"/>
    </row>
    <row r="2373" spans="2:3" ht="15" customHeight="1">
      <c r="B2373" s="548"/>
      <c r="C2373" s="549"/>
    </row>
    <row r="2374" spans="2:3" ht="15" customHeight="1">
      <c r="B2374" s="548"/>
      <c r="C2374" s="549"/>
    </row>
    <row r="2375" spans="2:3" ht="15" customHeight="1">
      <c r="B2375" s="548"/>
      <c r="C2375" s="549"/>
    </row>
    <row r="2376" spans="2:3" ht="15" customHeight="1">
      <c r="B2376" s="548"/>
      <c r="C2376" s="549"/>
    </row>
    <row r="2377" spans="2:3" ht="15" customHeight="1">
      <c r="B2377" s="548"/>
      <c r="C2377" s="549"/>
    </row>
    <row r="2378" spans="2:3" ht="15" customHeight="1">
      <c r="B2378" s="548"/>
      <c r="C2378" s="549"/>
    </row>
    <row r="2379" spans="2:3" ht="15" customHeight="1">
      <c r="B2379" s="548"/>
      <c r="C2379" s="549"/>
    </row>
    <row r="2380" spans="2:3" ht="15" customHeight="1">
      <c r="B2380" s="548"/>
      <c r="C2380" s="549"/>
    </row>
    <row r="2381" spans="2:3" ht="15" customHeight="1">
      <c r="B2381" s="548"/>
      <c r="C2381" s="549"/>
    </row>
    <row r="2382" spans="2:3" ht="15" customHeight="1">
      <c r="B2382" s="548"/>
      <c r="C2382" s="549"/>
    </row>
    <row r="2383" spans="2:3" ht="15" customHeight="1">
      <c r="B2383" s="548"/>
      <c r="C2383" s="549"/>
    </row>
    <row r="2384" spans="2:3" ht="15" customHeight="1">
      <c r="B2384" s="548"/>
      <c r="C2384" s="549"/>
    </row>
    <row r="2385" spans="2:3" ht="15" customHeight="1">
      <c r="B2385" s="548"/>
      <c r="C2385" s="549"/>
    </row>
    <row r="2386" spans="2:3" ht="15" customHeight="1">
      <c r="B2386" s="548"/>
      <c r="C2386" s="549"/>
    </row>
    <row r="2387" spans="2:3" ht="15" customHeight="1">
      <c r="B2387" s="548"/>
      <c r="C2387" s="549"/>
    </row>
    <row r="2388" spans="2:3" ht="15" customHeight="1">
      <c r="B2388" s="548"/>
      <c r="C2388" s="549"/>
    </row>
    <row r="2389" spans="2:3" ht="15" customHeight="1">
      <c r="B2389" s="548"/>
      <c r="C2389" s="549"/>
    </row>
    <row r="2390" spans="2:3" ht="15" customHeight="1">
      <c r="B2390" s="548"/>
      <c r="C2390" s="549"/>
    </row>
    <row r="2391" spans="2:3" ht="15" customHeight="1">
      <c r="B2391" s="548"/>
      <c r="C2391" s="549"/>
    </row>
    <row r="2392" spans="2:3" ht="15" customHeight="1">
      <c r="B2392" s="548"/>
      <c r="C2392" s="549"/>
    </row>
    <row r="2393" spans="2:3" ht="15" customHeight="1">
      <c r="B2393" s="548"/>
      <c r="C2393" s="549"/>
    </row>
    <row r="2394" spans="2:3" ht="15" customHeight="1">
      <c r="B2394" s="548"/>
      <c r="C2394" s="549"/>
    </row>
    <row r="2395" spans="2:3" ht="15" customHeight="1">
      <c r="B2395" s="548"/>
      <c r="C2395" s="549"/>
    </row>
    <row r="2396" spans="2:3" ht="15" customHeight="1">
      <c r="B2396" s="548"/>
      <c r="C2396" s="549"/>
    </row>
    <row r="2397" spans="2:3" ht="15" customHeight="1">
      <c r="B2397" s="548"/>
      <c r="C2397" s="549"/>
    </row>
    <row r="2398" spans="2:3" ht="15" customHeight="1">
      <c r="B2398" s="548"/>
      <c r="C2398" s="549"/>
    </row>
    <row r="2399" spans="2:3" ht="15" customHeight="1">
      <c r="B2399" s="548"/>
      <c r="C2399" s="549"/>
    </row>
    <row r="2400" spans="2:3" ht="15" customHeight="1">
      <c r="B2400" s="548"/>
      <c r="C2400" s="549"/>
    </row>
    <row r="2401" spans="2:3" ht="15" customHeight="1">
      <c r="B2401" s="548"/>
      <c r="C2401" s="549"/>
    </row>
    <row r="2402" spans="2:3" ht="15" customHeight="1">
      <c r="B2402" s="548"/>
      <c r="C2402" s="549"/>
    </row>
    <row r="2403" spans="2:3" ht="15" customHeight="1">
      <c r="B2403" s="548"/>
      <c r="C2403" s="549"/>
    </row>
    <row r="2404" spans="2:3" ht="15" customHeight="1">
      <c r="B2404" s="548"/>
      <c r="C2404" s="549"/>
    </row>
    <row r="2405" spans="2:3" ht="15" customHeight="1">
      <c r="B2405" s="548"/>
      <c r="C2405" s="549"/>
    </row>
    <row r="2406" spans="2:3" ht="15" customHeight="1">
      <c r="B2406" s="548"/>
      <c r="C2406" s="549"/>
    </row>
    <row r="2407" spans="2:3" ht="15" customHeight="1">
      <c r="B2407" s="548"/>
      <c r="C2407" s="549"/>
    </row>
    <row r="2408" spans="2:3" ht="15" customHeight="1">
      <c r="B2408" s="548"/>
      <c r="C2408" s="549"/>
    </row>
    <row r="2409" spans="2:3" ht="15" customHeight="1">
      <c r="B2409" s="548"/>
      <c r="C2409" s="549"/>
    </row>
    <row r="2410" spans="2:3" ht="15" customHeight="1">
      <c r="B2410" s="548"/>
      <c r="C2410" s="549"/>
    </row>
    <row r="2411" spans="2:3" ht="15" customHeight="1">
      <c r="B2411" s="548"/>
      <c r="C2411" s="549"/>
    </row>
    <row r="2412" spans="2:3" ht="15" customHeight="1">
      <c r="B2412" s="548"/>
      <c r="C2412" s="549"/>
    </row>
    <row r="2413" spans="2:3" ht="15" customHeight="1">
      <c r="B2413" s="548"/>
      <c r="C2413" s="549"/>
    </row>
    <row r="2414" spans="2:3" ht="15" customHeight="1">
      <c r="B2414" s="548"/>
      <c r="C2414" s="549"/>
    </row>
    <row r="2415" spans="2:3" ht="15" customHeight="1">
      <c r="B2415" s="548"/>
      <c r="C2415" s="549"/>
    </row>
    <row r="2416" spans="2:3" ht="15" customHeight="1">
      <c r="B2416" s="548"/>
      <c r="C2416" s="549"/>
    </row>
    <row r="2417" spans="2:3" ht="15" customHeight="1">
      <c r="B2417" s="548"/>
      <c r="C2417" s="549"/>
    </row>
    <row r="2418" spans="2:3" ht="15" customHeight="1">
      <c r="B2418" s="548"/>
      <c r="C2418" s="549"/>
    </row>
    <row r="2419" spans="2:3" ht="15" customHeight="1">
      <c r="B2419" s="548"/>
      <c r="C2419" s="549"/>
    </row>
    <row r="2420" spans="2:3" ht="15" customHeight="1">
      <c r="B2420" s="548"/>
      <c r="C2420" s="549"/>
    </row>
    <row r="2421" spans="2:3" ht="15" customHeight="1">
      <c r="B2421" s="548"/>
      <c r="C2421" s="549"/>
    </row>
    <row r="2422" spans="2:3" ht="15" customHeight="1">
      <c r="B2422" s="548"/>
      <c r="C2422" s="549"/>
    </row>
    <row r="2423" spans="2:3" ht="15" customHeight="1">
      <c r="B2423" s="548"/>
      <c r="C2423" s="549"/>
    </row>
    <row r="2424" spans="2:3" ht="15" customHeight="1">
      <c r="B2424" s="548"/>
      <c r="C2424" s="549"/>
    </row>
    <row r="2425" spans="2:3" ht="15" customHeight="1">
      <c r="B2425" s="548"/>
      <c r="C2425" s="549"/>
    </row>
    <row r="2426" spans="2:3" ht="15" customHeight="1">
      <c r="B2426" s="548"/>
      <c r="C2426" s="549"/>
    </row>
    <row r="2427" spans="2:3" ht="15" customHeight="1">
      <c r="B2427" s="548"/>
      <c r="C2427" s="549"/>
    </row>
    <row r="2428" spans="2:3" ht="15" customHeight="1">
      <c r="B2428" s="548"/>
      <c r="C2428" s="549"/>
    </row>
    <row r="2429" spans="2:3" ht="15" customHeight="1">
      <c r="B2429" s="548"/>
      <c r="C2429" s="549"/>
    </row>
    <row r="2430" spans="2:3" ht="15" customHeight="1">
      <c r="B2430" s="548"/>
      <c r="C2430" s="549"/>
    </row>
    <row r="2431" spans="2:3" ht="15" customHeight="1">
      <c r="B2431" s="548"/>
      <c r="C2431" s="549"/>
    </row>
    <row r="2432" spans="2:3" ht="15" customHeight="1">
      <c r="B2432" s="548"/>
      <c r="C2432" s="549"/>
    </row>
    <row r="2433" spans="2:3" ht="15" customHeight="1">
      <c r="B2433" s="548"/>
      <c r="C2433" s="549"/>
    </row>
    <row r="2434" spans="2:3" ht="15" customHeight="1">
      <c r="B2434" s="548"/>
      <c r="C2434" s="549"/>
    </row>
    <row r="2435" spans="2:3" ht="15" customHeight="1">
      <c r="B2435" s="548"/>
      <c r="C2435" s="549"/>
    </row>
    <row r="2436" spans="2:3" ht="15" customHeight="1">
      <c r="B2436" s="548"/>
      <c r="C2436" s="549"/>
    </row>
    <row r="2437" spans="2:3" ht="15" customHeight="1">
      <c r="B2437" s="548"/>
      <c r="C2437" s="549"/>
    </row>
    <row r="2438" spans="2:3" ht="15" customHeight="1">
      <c r="B2438" s="548"/>
      <c r="C2438" s="549"/>
    </row>
    <row r="2439" spans="2:3" ht="15" customHeight="1">
      <c r="B2439" s="548"/>
      <c r="C2439" s="549"/>
    </row>
    <row r="2440" spans="2:3" ht="15" customHeight="1">
      <c r="B2440" s="548"/>
      <c r="C2440" s="549"/>
    </row>
    <row r="2441" spans="2:3" ht="15" customHeight="1">
      <c r="B2441" s="548"/>
      <c r="C2441" s="549"/>
    </row>
    <row r="2442" spans="2:3" ht="15" customHeight="1">
      <c r="B2442" s="548"/>
      <c r="C2442" s="549"/>
    </row>
    <row r="2443" spans="2:3" ht="15" customHeight="1">
      <c r="B2443" s="548"/>
      <c r="C2443" s="549"/>
    </row>
    <row r="2444" spans="2:3" ht="15" customHeight="1">
      <c r="B2444" s="548"/>
      <c r="C2444" s="549"/>
    </row>
    <row r="2445" spans="2:3" ht="15" customHeight="1">
      <c r="B2445" s="548"/>
      <c r="C2445" s="549"/>
    </row>
    <row r="2446" spans="2:3" ht="15" customHeight="1">
      <c r="B2446" s="548"/>
      <c r="C2446" s="549"/>
    </row>
    <row r="2447" spans="2:3" ht="15" customHeight="1">
      <c r="B2447" s="548"/>
      <c r="C2447" s="549"/>
    </row>
    <row r="2448" spans="2:3" ht="15" customHeight="1">
      <c r="B2448" s="548"/>
      <c r="C2448" s="549"/>
    </row>
    <row r="2449" spans="2:3" ht="15" customHeight="1">
      <c r="B2449" s="548"/>
      <c r="C2449" s="549"/>
    </row>
    <row r="2450" spans="2:3" ht="15" customHeight="1">
      <c r="B2450" s="548"/>
      <c r="C2450" s="549"/>
    </row>
    <row r="2451" spans="2:3" ht="15" customHeight="1">
      <c r="B2451" s="548"/>
      <c r="C2451" s="549"/>
    </row>
    <row r="2452" spans="2:3" ht="15" customHeight="1">
      <c r="B2452" s="548"/>
      <c r="C2452" s="549"/>
    </row>
    <row r="2453" spans="2:3" ht="15" customHeight="1">
      <c r="B2453" s="548"/>
      <c r="C2453" s="549"/>
    </row>
    <row r="2454" spans="2:3" ht="15" customHeight="1">
      <c r="B2454" s="548"/>
      <c r="C2454" s="549"/>
    </row>
    <row r="2455" spans="2:3" ht="15" customHeight="1">
      <c r="B2455" s="548"/>
      <c r="C2455" s="549"/>
    </row>
    <row r="2456" spans="2:3" ht="15" customHeight="1">
      <c r="B2456" s="548"/>
      <c r="C2456" s="549"/>
    </row>
    <row r="2457" spans="2:3" ht="15" customHeight="1">
      <c r="B2457" s="548"/>
      <c r="C2457" s="549"/>
    </row>
    <row r="2458" spans="2:3" ht="15" customHeight="1">
      <c r="B2458" s="548"/>
      <c r="C2458" s="549"/>
    </row>
    <row r="2459" spans="2:3" ht="15" customHeight="1">
      <c r="B2459" s="548"/>
      <c r="C2459" s="549"/>
    </row>
    <row r="2460" spans="2:3" ht="15" customHeight="1">
      <c r="B2460" s="548"/>
      <c r="C2460" s="549"/>
    </row>
    <row r="2461" spans="2:3" ht="15" customHeight="1">
      <c r="B2461" s="548"/>
      <c r="C2461" s="549"/>
    </row>
    <row r="2462" spans="2:3" ht="15" customHeight="1">
      <c r="B2462" s="548"/>
      <c r="C2462" s="549"/>
    </row>
    <row r="2463" spans="2:3" ht="15" customHeight="1">
      <c r="B2463" s="548"/>
      <c r="C2463" s="549"/>
    </row>
    <row r="2464" spans="2:3" ht="15" customHeight="1">
      <c r="B2464" s="548"/>
      <c r="C2464" s="549"/>
    </row>
    <row r="2465" spans="2:3" ht="15" customHeight="1">
      <c r="B2465" s="548"/>
      <c r="C2465" s="549"/>
    </row>
    <row r="2466" spans="2:3" ht="15" customHeight="1">
      <c r="B2466" s="548"/>
      <c r="C2466" s="549"/>
    </row>
    <row r="2467" spans="2:3" ht="15" customHeight="1">
      <c r="B2467" s="548"/>
      <c r="C2467" s="549"/>
    </row>
    <row r="2468" spans="2:3" ht="15" customHeight="1">
      <c r="B2468" s="548"/>
      <c r="C2468" s="549"/>
    </row>
    <row r="2469" spans="2:3" ht="15" customHeight="1">
      <c r="B2469" s="548"/>
      <c r="C2469" s="549"/>
    </row>
    <row r="2470" spans="2:3" ht="15" customHeight="1">
      <c r="B2470" s="548"/>
      <c r="C2470" s="549"/>
    </row>
    <row r="2471" spans="2:3" ht="15" customHeight="1">
      <c r="B2471" s="548"/>
      <c r="C2471" s="549"/>
    </row>
    <row r="2472" spans="2:3" ht="15" customHeight="1">
      <c r="B2472" s="548"/>
      <c r="C2472" s="549"/>
    </row>
    <row r="2473" spans="2:3" ht="15" customHeight="1">
      <c r="B2473" s="548"/>
      <c r="C2473" s="549"/>
    </row>
    <row r="2474" spans="2:3" ht="15" customHeight="1">
      <c r="B2474" s="548"/>
      <c r="C2474" s="549"/>
    </row>
    <row r="2475" spans="2:3" ht="15" customHeight="1">
      <c r="B2475" s="548"/>
      <c r="C2475" s="549"/>
    </row>
    <row r="2476" spans="2:3" ht="15" customHeight="1">
      <c r="B2476" s="548"/>
      <c r="C2476" s="549"/>
    </row>
    <row r="2477" spans="2:3" ht="15" customHeight="1">
      <c r="B2477" s="548"/>
      <c r="C2477" s="549"/>
    </row>
    <row r="2478" spans="2:3" ht="15" customHeight="1">
      <c r="B2478" s="548"/>
      <c r="C2478" s="549"/>
    </row>
    <row r="2479" spans="2:3" ht="15" customHeight="1">
      <c r="B2479" s="548"/>
      <c r="C2479" s="549"/>
    </row>
    <row r="2480" spans="2:3" ht="15" customHeight="1">
      <c r="B2480" s="548"/>
      <c r="C2480" s="549"/>
    </row>
    <row r="2481" spans="2:3" ht="15" customHeight="1">
      <c r="B2481" s="548"/>
      <c r="C2481" s="549"/>
    </row>
    <row r="2482" spans="2:3" ht="15" customHeight="1">
      <c r="B2482" s="548"/>
      <c r="C2482" s="549"/>
    </row>
    <row r="2483" spans="2:3" ht="15" customHeight="1">
      <c r="B2483" s="548"/>
      <c r="C2483" s="549"/>
    </row>
    <row r="2484" spans="2:3" ht="15" customHeight="1">
      <c r="B2484" s="548"/>
      <c r="C2484" s="549"/>
    </row>
    <row r="2485" spans="2:3" ht="15" customHeight="1">
      <c r="B2485" s="548"/>
      <c r="C2485" s="549"/>
    </row>
    <row r="2486" spans="2:3" ht="15" customHeight="1">
      <c r="B2486" s="548"/>
      <c r="C2486" s="549"/>
    </row>
    <row r="2487" spans="2:3" ht="15" customHeight="1">
      <c r="B2487" s="548"/>
      <c r="C2487" s="549"/>
    </row>
    <row r="2488" spans="2:3" ht="15" customHeight="1">
      <c r="B2488" s="548"/>
      <c r="C2488" s="549"/>
    </row>
    <row r="2489" spans="2:3" ht="15" customHeight="1">
      <c r="B2489" s="548"/>
      <c r="C2489" s="549"/>
    </row>
    <row r="2490" spans="2:3" ht="15" customHeight="1">
      <c r="B2490" s="548"/>
      <c r="C2490" s="549"/>
    </row>
    <row r="2491" spans="2:3" ht="15" customHeight="1">
      <c r="B2491" s="548"/>
      <c r="C2491" s="549"/>
    </row>
    <row r="2492" spans="2:3" ht="15" customHeight="1">
      <c r="B2492" s="548"/>
      <c r="C2492" s="549"/>
    </row>
    <row r="2493" spans="2:3" ht="15" customHeight="1">
      <c r="B2493" s="548"/>
      <c r="C2493" s="549"/>
    </row>
    <row r="2494" spans="2:3" ht="15" customHeight="1">
      <c r="B2494" s="548"/>
      <c r="C2494" s="549"/>
    </row>
    <row r="2495" spans="2:3" ht="15" customHeight="1">
      <c r="B2495" s="548"/>
      <c r="C2495" s="549"/>
    </row>
    <row r="2496" spans="2:3" ht="15" customHeight="1">
      <c r="B2496" s="548"/>
      <c r="C2496" s="549"/>
    </row>
    <row r="2497" spans="2:3" ht="15" customHeight="1">
      <c r="B2497" s="548"/>
      <c r="C2497" s="549"/>
    </row>
    <row r="2498" spans="2:3" ht="15" customHeight="1">
      <c r="B2498" s="548"/>
      <c r="C2498" s="549"/>
    </row>
    <row r="2499" spans="2:3" ht="15" customHeight="1">
      <c r="B2499" s="548"/>
      <c r="C2499" s="549"/>
    </row>
    <row r="2500" spans="2:3" ht="15" customHeight="1">
      <c r="B2500" s="548"/>
      <c r="C2500" s="549"/>
    </row>
    <row r="2501" spans="2:3" ht="15" customHeight="1">
      <c r="B2501" s="548"/>
      <c r="C2501" s="549"/>
    </row>
    <row r="2502" spans="2:3" ht="15" customHeight="1">
      <c r="B2502" s="548"/>
      <c r="C2502" s="549"/>
    </row>
    <row r="2503" spans="2:3" ht="15" customHeight="1">
      <c r="B2503" s="548"/>
      <c r="C2503" s="549"/>
    </row>
    <row r="2504" spans="2:3" ht="15" customHeight="1">
      <c r="B2504" s="548"/>
      <c r="C2504" s="549"/>
    </row>
    <row r="2505" spans="2:3" ht="15" customHeight="1">
      <c r="B2505" s="548"/>
      <c r="C2505" s="549"/>
    </row>
    <row r="2506" spans="2:3" ht="15" customHeight="1">
      <c r="B2506" s="548"/>
      <c r="C2506" s="549"/>
    </row>
    <row r="2507" spans="2:3" ht="15" customHeight="1">
      <c r="B2507" s="548"/>
      <c r="C2507" s="549"/>
    </row>
    <row r="2508" spans="2:3" ht="15" customHeight="1">
      <c r="B2508" s="548"/>
      <c r="C2508" s="549"/>
    </row>
    <row r="2509" spans="2:3" ht="15" customHeight="1">
      <c r="B2509" s="548"/>
      <c r="C2509" s="549"/>
    </row>
    <row r="2510" spans="2:3" ht="15" customHeight="1">
      <c r="B2510" s="548"/>
      <c r="C2510" s="549"/>
    </row>
    <row r="2511" spans="2:3" ht="15" customHeight="1">
      <c r="B2511" s="548"/>
      <c r="C2511" s="549"/>
    </row>
    <row r="2512" spans="2:3" ht="15" customHeight="1">
      <c r="B2512" s="548"/>
      <c r="C2512" s="549"/>
    </row>
    <row r="2513" spans="2:3" ht="15" customHeight="1">
      <c r="B2513" s="548"/>
      <c r="C2513" s="549"/>
    </row>
    <row r="2514" spans="2:3" ht="15" customHeight="1">
      <c r="B2514" s="548"/>
      <c r="C2514" s="549"/>
    </row>
    <row r="2515" spans="2:3" ht="15" customHeight="1">
      <c r="B2515" s="548"/>
      <c r="C2515" s="549"/>
    </row>
    <row r="2516" spans="2:3" ht="15" customHeight="1">
      <c r="B2516" s="548"/>
      <c r="C2516" s="549"/>
    </row>
    <row r="2517" spans="2:3" ht="15" customHeight="1">
      <c r="B2517" s="548"/>
      <c r="C2517" s="549"/>
    </row>
    <row r="2518" spans="2:3" ht="15" customHeight="1">
      <c r="B2518" s="548"/>
      <c r="C2518" s="549"/>
    </row>
    <row r="2519" spans="2:3" ht="15" customHeight="1">
      <c r="B2519" s="548"/>
      <c r="C2519" s="549"/>
    </row>
    <row r="2520" spans="2:3" ht="15" customHeight="1">
      <c r="B2520" s="548"/>
      <c r="C2520" s="549"/>
    </row>
    <row r="2521" spans="2:3" ht="15" customHeight="1">
      <c r="B2521" s="548"/>
      <c r="C2521" s="549"/>
    </row>
    <row r="2522" spans="2:3" ht="15" customHeight="1">
      <c r="B2522" s="548"/>
      <c r="C2522" s="549"/>
    </row>
    <row r="2523" spans="2:3" ht="15" customHeight="1">
      <c r="B2523" s="548"/>
      <c r="C2523" s="549"/>
    </row>
    <row r="2524" spans="2:3" ht="15" customHeight="1">
      <c r="B2524" s="548"/>
      <c r="C2524" s="549"/>
    </row>
    <row r="2525" spans="2:3" ht="15" customHeight="1">
      <c r="B2525" s="548"/>
      <c r="C2525" s="549"/>
    </row>
    <row r="2526" spans="2:3" ht="15" customHeight="1">
      <c r="B2526" s="548"/>
      <c r="C2526" s="549"/>
    </row>
    <row r="2527" spans="2:3" ht="15" customHeight="1">
      <c r="B2527" s="548"/>
      <c r="C2527" s="549"/>
    </row>
    <row r="2528" spans="2:3" ht="15" customHeight="1">
      <c r="B2528" s="548"/>
      <c r="C2528" s="549"/>
    </row>
    <row r="2529" spans="2:3" ht="15" customHeight="1">
      <c r="B2529" s="548"/>
      <c r="C2529" s="549"/>
    </row>
    <row r="2530" spans="2:3" ht="15" customHeight="1">
      <c r="B2530" s="548"/>
      <c r="C2530" s="549"/>
    </row>
    <row r="2531" spans="2:3" ht="15" customHeight="1">
      <c r="B2531" s="548"/>
      <c r="C2531" s="549"/>
    </row>
    <row r="2532" spans="2:3" ht="15" customHeight="1">
      <c r="B2532" s="548"/>
      <c r="C2532" s="549"/>
    </row>
    <row r="2533" spans="2:3" ht="15" customHeight="1">
      <c r="B2533" s="548"/>
      <c r="C2533" s="549"/>
    </row>
    <row r="2534" spans="2:3" ht="15" customHeight="1">
      <c r="B2534" s="548"/>
      <c r="C2534" s="549"/>
    </row>
    <row r="2535" spans="2:3" ht="15" customHeight="1">
      <c r="B2535" s="548"/>
      <c r="C2535" s="549"/>
    </row>
    <row r="2536" spans="2:3" ht="15" customHeight="1">
      <c r="B2536" s="548"/>
      <c r="C2536" s="549"/>
    </row>
    <row r="2537" spans="2:3" ht="15" customHeight="1">
      <c r="B2537" s="548"/>
      <c r="C2537" s="549"/>
    </row>
    <row r="2538" spans="2:3" ht="15" customHeight="1">
      <c r="B2538" s="548"/>
      <c r="C2538" s="549"/>
    </row>
    <row r="2539" spans="2:3" ht="15" customHeight="1">
      <c r="B2539" s="548"/>
      <c r="C2539" s="549"/>
    </row>
    <row r="2540" spans="2:3" ht="15" customHeight="1">
      <c r="B2540" s="548"/>
      <c r="C2540" s="549"/>
    </row>
    <row r="2541" spans="2:3" ht="15" customHeight="1">
      <c r="B2541" s="548"/>
      <c r="C2541" s="549"/>
    </row>
    <row r="2542" spans="2:3" ht="15" customHeight="1">
      <c r="B2542" s="548"/>
      <c r="C2542" s="549"/>
    </row>
    <row r="2543" spans="2:3" ht="15" customHeight="1">
      <c r="B2543" s="548"/>
      <c r="C2543" s="549"/>
    </row>
    <row r="2544" spans="2:3" ht="15" customHeight="1">
      <c r="B2544" s="548"/>
      <c r="C2544" s="549"/>
    </row>
    <row r="2545" spans="2:3" ht="15" customHeight="1">
      <c r="B2545" s="548"/>
      <c r="C2545" s="549"/>
    </row>
    <row r="2546" spans="2:3" ht="15" customHeight="1">
      <c r="B2546" s="548"/>
      <c r="C2546" s="549"/>
    </row>
    <row r="2547" spans="2:3" ht="15" customHeight="1">
      <c r="B2547" s="548"/>
      <c r="C2547" s="549"/>
    </row>
    <row r="2548" spans="2:3" ht="15" customHeight="1">
      <c r="B2548" s="548"/>
      <c r="C2548" s="549"/>
    </row>
    <row r="2549" spans="2:3" ht="15" customHeight="1">
      <c r="B2549" s="548"/>
      <c r="C2549" s="549"/>
    </row>
    <row r="2550" spans="2:3" ht="15" customHeight="1">
      <c r="B2550" s="548"/>
      <c r="C2550" s="549"/>
    </row>
    <row r="2551" spans="2:3" ht="15" customHeight="1">
      <c r="B2551" s="548"/>
      <c r="C2551" s="549"/>
    </row>
    <row r="2552" spans="2:3" ht="15" customHeight="1">
      <c r="B2552" s="548"/>
      <c r="C2552" s="549"/>
    </row>
    <row r="2553" spans="2:3" ht="15" customHeight="1">
      <c r="B2553" s="548"/>
      <c r="C2553" s="549"/>
    </row>
    <row r="2554" spans="2:3" ht="15" customHeight="1">
      <c r="B2554" s="548"/>
      <c r="C2554" s="549"/>
    </row>
    <row r="2555" spans="2:3" ht="15" customHeight="1">
      <c r="B2555" s="548"/>
      <c r="C2555" s="549"/>
    </row>
    <row r="2556" spans="2:3" ht="15" customHeight="1">
      <c r="B2556" s="548"/>
      <c r="C2556" s="549"/>
    </row>
    <row r="2557" spans="2:3" ht="15" customHeight="1">
      <c r="B2557" s="548"/>
      <c r="C2557" s="549"/>
    </row>
    <row r="2558" spans="2:3" ht="15" customHeight="1">
      <c r="B2558" s="548"/>
      <c r="C2558" s="549"/>
    </row>
    <row r="2559" spans="2:3" ht="15" customHeight="1">
      <c r="B2559" s="548"/>
      <c r="C2559" s="549"/>
    </row>
    <row r="2560" spans="2:3" ht="15" customHeight="1">
      <c r="B2560" s="548"/>
      <c r="C2560" s="549"/>
    </row>
    <row r="2561" spans="2:3" ht="15" customHeight="1">
      <c r="B2561" s="548"/>
      <c r="C2561" s="549"/>
    </row>
    <row r="2562" spans="2:3" ht="15" customHeight="1">
      <c r="B2562" s="548"/>
      <c r="C2562" s="549"/>
    </row>
    <row r="2563" spans="2:3" ht="15" customHeight="1">
      <c r="B2563" s="548"/>
      <c r="C2563" s="549"/>
    </row>
    <row r="2564" spans="2:3" ht="15" customHeight="1">
      <c r="B2564" s="548"/>
      <c r="C2564" s="549"/>
    </row>
    <row r="2565" spans="2:3" ht="15" customHeight="1">
      <c r="B2565" s="548"/>
      <c r="C2565" s="549"/>
    </row>
    <row r="2566" spans="2:3" ht="15" customHeight="1">
      <c r="B2566" s="548"/>
      <c r="C2566" s="549"/>
    </row>
    <row r="2567" spans="2:3" ht="15" customHeight="1">
      <c r="B2567" s="548"/>
      <c r="C2567" s="549"/>
    </row>
    <row r="2568" spans="2:3" ht="15" customHeight="1">
      <c r="B2568" s="548"/>
      <c r="C2568" s="549"/>
    </row>
    <row r="2569" spans="2:3" ht="15" customHeight="1">
      <c r="B2569" s="548"/>
      <c r="C2569" s="549"/>
    </row>
    <row r="2570" spans="2:3" ht="15" customHeight="1">
      <c r="B2570" s="548"/>
      <c r="C2570" s="549"/>
    </row>
    <row r="2571" spans="2:3" ht="15" customHeight="1">
      <c r="B2571" s="548"/>
      <c r="C2571" s="549"/>
    </row>
    <row r="2572" spans="2:3" ht="15" customHeight="1">
      <c r="B2572" s="548"/>
      <c r="C2572" s="549"/>
    </row>
    <row r="2573" spans="2:3" ht="15" customHeight="1">
      <c r="B2573" s="548"/>
      <c r="C2573" s="549"/>
    </row>
    <row r="2574" spans="2:3" ht="15" customHeight="1">
      <c r="B2574" s="548"/>
      <c r="C2574" s="549"/>
    </row>
    <row r="2575" spans="2:3" ht="15" customHeight="1">
      <c r="B2575" s="548"/>
      <c r="C2575" s="549"/>
    </row>
    <row r="2576" spans="2:3" ht="15" customHeight="1">
      <c r="B2576" s="548"/>
      <c r="C2576" s="549"/>
    </row>
    <row r="2577" spans="2:3" ht="15" customHeight="1">
      <c r="B2577" s="548"/>
      <c r="C2577" s="549"/>
    </row>
    <row r="2578" spans="2:3" ht="15" customHeight="1">
      <c r="B2578" s="548"/>
      <c r="C2578" s="549"/>
    </row>
    <row r="2579" spans="2:3" ht="15" customHeight="1">
      <c r="B2579" s="548"/>
      <c r="C2579" s="549"/>
    </row>
    <row r="2580" spans="2:3" ht="15" customHeight="1">
      <c r="B2580" s="548"/>
      <c r="C2580" s="549"/>
    </row>
    <row r="2581" spans="2:3" ht="15" customHeight="1">
      <c r="B2581" s="548"/>
      <c r="C2581" s="549"/>
    </row>
    <row r="2582" spans="2:3" ht="15" customHeight="1">
      <c r="B2582" s="548"/>
      <c r="C2582" s="549"/>
    </row>
    <row r="2583" spans="2:3" ht="15" customHeight="1">
      <c r="B2583" s="548"/>
      <c r="C2583" s="549"/>
    </row>
    <row r="2584" spans="2:3" ht="15" customHeight="1">
      <c r="B2584" s="548"/>
      <c r="C2584" s="549"/>
    </row>
    <row r="2585" spans="2:3" ht="15" customHeight="1">
      <c r="B2585" s="548"/>
      <c r="C2585" s="549"/>
    </row>
    <row r="2586" spans="2:3" ht="15" customHeight="1">
      <c r="B2586" s="548"/>
      <c r="C2586" s="549"/>
    </row>
    <row r="2587" spans="2:3" ht="15" customHeight="1">
      <c r="B2587" s="548"/>
      <c r="C2587" s="549"/>
    </row>
    <row r="2588" spans="2:3" ht="15" customHeight="1">
      <c r="B2588" s="548"/>
      <c r="C2588" s="549"/>
    </row>
    <row r="2589" spans="2:3" ht="15" customHeight="1">
      <c r="B2589" s="548"/>
      <c r="C2589" s="549"/>
    </row>
    <row r="2590" spans="2:3" ht="15" customHeight="1">
      <c r="B2590" s="548"/>
      <c r="C2590" s="549"/>
    </row>
    <row r="2591" spans="2:3" ht="15" customHeight="1">
      <c r="B2591" s="548"/>
      <c r="C2591" s="549"/>
    </row>
    <row r="2592" spans="2:3" ht="15" customHeight="1">
      <c r="B2592" s="548"/>
      <c r="C2592" s="549"/>
    </row>
    <row r="2593" spans="2:3" ht="15" customHeight="1">
      <c r="B2593" s="548"/>
      <c r="C2593" s="549"/>
    </row>
    <row r="2594" spans="2:3" ht="15" customHeight="1">
      <c r="B2594" s="548"/>
      <c r="C2594" s="549"/>
    </row>
    <row r="2595" spans="2:3" ht="15" customHeight="1">
      <c r="B2595" s="548"/>
      <c r="C2595" s="549"/>
    </row>
    <row r="2596" spans="2:3" ht="15" customHeight="1">
      <c r="B2596" s="548"/>
      <c r="C2596" s="549"/>
    </row>
    <row r="2597" spans="2:3" ht="15" customHeight="1">
      <c r="B2597" s="548"/>
      <c r="C2597" s="549"/>
    </row>
    <row r="2598" spans="2:3" ht="15" customHeight="1">
      <c r="B2598" s="548"/>
      <c r="C2598" s="549"/>
    </row>
    <row r="2599" spans="2:3" ht="15" customHeight="1">
      <c r="B2599" s="548"/>
      <c r="C2599" s="549"/>
    </row>
    <row r="2600" spans="2:3" ht="15" customHeight="1">
      <c r="B2600" s="548"/>
      <c r="C2600" s="549"/>
    </row>
    <row r="2601" spans="2:3" ht="15" customHeight="1">
      <c r="B2601" s="548"/>
      <c r="C2601" s="549"/>
    </row>
    <row r="2602" spans="2:3" ht="15" customHeight="1">
      <c r="B2602" s="548"/>
      <c r="C2602" s="549"/>
    </row>
    <row r="2603" spans="2:3" ht="15" customHeight="1">
      <c r="B2603" s="548"/>
      <c r="C2603" s="549"/>
    </row>
    <row r="2604" spans="2:3" ht="15" customHeight="1">
      <c r="B2604" s="548"/>
      <c r="C2604" s="549"/>
    </row>
    <row r="2605" spans="2:3" ht="15" customHeight="1">
      <c r="B2605" s="548"/>
      <c r="C2605" s="549"/>
    </row>
    <row r="2606" spans="2:3" ht="15" customHeight="1">
      <c r="B2606" s="548"/>
      <c r="C2606" s="549"/>
    </row>
    <row r="2607" spans="2:3" ht="15" customHeight="1">
      <c r="B2607" s="548"/>
      <c r="C2607" s="549"/>
    </row>
    <row r="2608" spans="2:3" ht="15" customHeight="1">
      <c r="B2608" s="548"/>
      <c r="C2608" s="549"/>
    </row>
    <row r="2609" spans="2:3" ht="15" customHeight="1">
      <c r="B2609" s="548"/>
      <c r="C2609" s="549"/>
    </row>
    <row r="2610" spans="2:3" ht="15" customHeight="1">
      <c r="B2610" s="548"/>
      <c r="C2610" s="549"/>
    </row>
    <row r="2611" spans="2:3" ht="15" customHeight="1">
      <c r="B2611" s="548"/>
      <c r="C2611" s="549"/>
    </row>
    <row r="2612" spans="2:3" ht="15" customHeight="1">
      <c r="B2612" s="548"/>
      <c r="C2612" s="549"/>
    </row>
    <row r="2613" spans="2:3" ht="15" customHeight="1">
      <c r="B2613" s="548"/>
      <c r="C2613" s="549"/>
    </row>
    <row r="2614" spans="2:3" ht="15" customHeight="1">
      <c r="B2614" s="548"/>
      <c r="C2614" s="549"/>
    </row>
    <row r="2615" spans="2:3" ht="15" customHeight="1">
      <c r="B2615" s="548"/>
      <c r="C2615" s="549"/>
    </row>
    <row r="2616" spans="2:3" ht="15" customHeight="1">
      <c r="B2616" s="548"/>
      <c r="C2616" s="549"/>
    </row>
    <row r="2617" spans="2:3" ht="15" customHeight="1">
      <c r="B2617" s="548"/>
      <c r="C2617" s="549"/>
    </row>
    <row r="2618" spans="2:3" ht="15" customHeight="1">
      <c r="B2618" s="548"/>
      <c r="C2618" s="549"/>
    </row>
    <row r="2619" spans="2:3" ht="15" customHeight="1">
      <c r="B2619" s="548"/>
      <c r="C2619" s="549"/>
    </row>
    <row r="2620" spans="2:3" ht="15" customHeight="1">
      <c r="B2620" s="548"/>
      <c r="C2620" s="549"/>
    </row>
    <row r="2621" spans="2:3" ht="15" customHeight="1">
      <c r="B2621" s="548"/>
      <c r="C2621" s="549"/>
    </row>
    <row r="2622" spans="2:3" ht="15" customHeight="1">
      <c r="B2622" s="548"/>
      <c r="C2622" s="549"/>
    </row>
    <row r="2623" spans="2:3" ht="15" customHeight="1">
      <c r="B2623" s="548"/>
      <c r="C2623" s="549"/>
    </row>
    <row r="2624" spans="2:3" ht="15" customHeight="1">
      <c r="B2624" s="548"/>
      <c r="C2624" s="549"/>
    </row>
    <row r="2625" spans="2:3" ht="15" customHeight="1">
      <c r="B2625" s="548"/>
      <c r="C2625" s="549"/>
    </row>
    <row r="2626" spans="2:3" ht="15" customHeight="1">
      <c r="B2626" s="548"/>
      <c r="C2626" s="549"/>
    </row>
    <row r="2627" spans="2:3" ht="15" customHeight="1">
      <c r="B2627" s="548"/>
      <c r="C2627" s="549"/>
    </row>
    <row r="2628" spans="2:3" ht="15" customHeight="1">
      <c r="B2628" s="548"/>
      <c r="C2628" s="549"/>
    </row>
    <row r="2629" spans="2:3" ht="15" customHeight="1">
      <c r="B2629" s="548"/>
      <c r="C2629" s="549"/>
    </row>
    <row r="2630" spans="2:3" ht="15" customHeight="1">
      <c r="B2630" s="548"/>
      <c r="C2630" s="549"/>
    </row>
    <row r="2631" spans="2:3" ht="15" customHeight="1">
      <c r="B2631" s="548"/>
      <c r="C2631" s="549"/>
    </row>
    <row r="2632" spans="2:3" ht="15" customHeight="1">
      <c r="B2632" s="548"/>
      <c r="C2632" s="549"/>
    </row>
    <row r="2633" spans="2:3" ht="15" customHeight="1">
      <c r="B2633" s="548"/>
      <c r="C2633" s="549"/>
    </row>
    <row r="2634" spans="2:3" ht="15" customHeight="1">
      <c r="B2634" s="548"/>
      <c r="C2634" s="549"/>
    </row>
    <row r="2635" spans="2:3" ht="15" customHeight="1">
      <c r="B2635" s="548"/>
      <c r="C2635" s="549"/>
    </row>
    <row r="2636" spans="2:3" ht="15" customHeight="1">
      <c r="B2636" s="548"/>
      <c r="C2636" s="549"/>
    </row>
    <row r="2637" spans="2:3" ht="15" customHeight="1">
      <c r="B2637" s="548"/>
      <c r="C2637" s="549"/>
    </row>
    <row r="2638" spans="2:3" ht="15" customHeight="1">
      <c r="B2638" s="548"/>
      <c r="C2638" s="549"/>
    </row>
    <row r="2639" spans="2:3" ht="15" customHeight="1">
      <c r="B2639" s="548"/>
      <c r="C2639" s="549"/>
    </row>
    <row r="2640" spans="2:3" ht="15" customHeight="1">
      <c r="B2640" s="548"/>
      <c r="C2640" s="549"/>
    </row>
    <row r="2641" spans="2:3" ht="15" customHeight="1">
      <c r="B2641" s="548"/>
      <c r="C2641" s="549"/>
    </row>
    <row r="2642" spans="2:3" ht="15" customHeight="1">
      <c r="B2642" s="548"/>
      <c r="C2642" s="549"/>
    </row>
    <row r="2643" spans="2:3" ht="15" customHeight="1">
      <c r="B2643" s="548"/>
      <c r="C2643" s="549"/>
    </row>
    <row r="2644" spans="2:3" ht="15" customHeight="1">
      <c r="B2644" s="548"/>
      <c r="C2644" s="549"/>
    </row>
    <row r="2645" spans="2:3" ht="15" customHeight="1">
      <c r="B2645" s="548"/>
      <c r="C2645" s="549"/>
    </row>
    <row r="2646" spans="2:3" ht="15" customHeight="1">
      <c r="B2646" s="548"/>
      <c r="C2646" s="549"/>
    </row>
    <row r="2647" spans="2:3" ht="15" customHeight="1">
      <c r="B2647" s="548"/>
      <c r="C2647" s="549"/>
    </row>
    <row r="2648" spans="2:3" ht="15" customHeight="1">
      <c r="B2648" s="548"/>
      <c r="C2648" s="549"/>
    </row>
    <row r="2649" spans="2:3" ht="15" customHeight="1">
      <c r="B2649" s="548"/>
      <c r="C2649" s="549"/>
    </row>
    <row r="2650" spans="2:3" ht="15" customHeight="1">
      <c r="B2650" s="548"/>
      <c r="C2650" s="549"/>
    </row>
    <row r="2651" spans="2:3" ht="15" customHeight="1">
      <c r="B2651" s="548"/>
      <c r="C2651" s="549"/>
    </row>
    <row r="2652" spans="2:3" ht="15" customHeight="1">
      <c r="B2652" s="548"/>
      <c r="C2652" s="549"/>
    </row>
    <row r="2653" spans="2:3" ht="15" customHeight="1">
      <c r="B2653" s="548"/>
      <c r="C2653" s="549"/>
    </row>
    <row r="2654" spans="2:3" ht="15" customHeight="1">
      <c r="B2654" s="548"/>
      <c r="C2654" s="549"/>
    </row>
    <row r="2655" spans="2:3" ht="15" customHeight="1">
      <c r="B2655" s="548"/>
      <c r="C2655" s="549"/>
    </row>
    <row r="2656" spans="2:3" ht="15" customHeight="1">
      <c r="B2656" s="548"/>
      <c r="C2656" s="549"/>
    </row>
    <row r="2657" spans="2:3" ht="15" customHeight="1">
      <c r="B2657" s="548"/>
      <c r="C2657" s="549"/>
    </row>
    <row r="2658" spans="2:3" ht="15" customHeight="1">
      <c r="B2658" s="548"/>
      <c r="C2658" s="549"/>
    </row>
    <row r="2659" spans="2:3" ht="15" customHeight="1">
      <c r="B2659" s="548"/>
      <c r="C2659" s="549"/>
    </row>
    <row r="2660" spans="2:3" ht="15" customHeight="1">
      <c r="B2660" s="548"/>
      <c r="C2660" s="549"/>
    </row>
    <row r="2661" spans="2:3" ht="15" customHeight="1">
      <c r="B2661" s="548"/>
      <c r="C2661" s="549"/>
    </row>
    <row r="2662" spans="2:3" ht="15" customHeight="1">
      <c r="B2662" s="548"/>
      <c r="C2662" s="549"/>
    </row>
    <row r="2663" spans="2:3" ht="15" customHeight="1">
      <c r="B2663" s="548"/>
      <c r="C2663" s="549"/>
    </row>
    <row r="2664" spans="2:3" ht="15" customHeight="1">
      <c r="B2664" s="548"/>
      <c r="C2664" s="549"/>
    </row>
    <row r="2665" spans="2:3" ht="15" customHeight="1">
      <c r="B2665" s="548"/>
      <c r="C2665" s="549"/>
    </row>
    <row r="2666" spans="2:3" ht="15" customHeight="1">
      <c r="B2666" s="548"/>
      <c r="C2666" s="549"/>
    </row>
    <row r="2667" spans="2:3" ht="15" customHeight="1">
      <c r="B2667" s="548"/>
      <c r="C2667" s="549"/>
    </row>
    <row r="2668" spans="2:3" ht="15" customHeight="1">
      <c r="B2668" s="548"/>
      <c r="C2668" s="549"/>
    </row>
    <row r="2669" spans="2:3" ht="15" customHeight="1">
      <c r="B2669" s="548"/>
      <c r="C2669" s="549"/>
    </row>
    <row r="2670" spans="2:3" ht="15" customHeight="1">
      <c r="B2670" s="548"/>
      <c r="C2670" s="549"/>
    </row>
    <row r="2671" spans="2:3" ht="15" customHeight="1">
      <c r="B2671" s="548"/>
      <c r="C2671" s="549"/>
    </row>
    <row r="2672" spans="2:3" ht="15" customHeight="1">
      <c r="B2672" s="548"/>
      <c r="C2672" s="549"/>
    </row>
    <row r="2673" spans="2:3" ht="15" customHeight="1">
      <c r="B2673" s="548"/>
      <c r="C2673" s="549"/>
    </row>
    <row r="2674" spans="2:3" ht="15" customHeight="1">
      <c r="B2674" s="548"/>
      <c r="C2674" s="549"/>
    </row>
    <row r="2675" spans="2:3" ht="15" customHeight="1">
      <c r="B2675" s="548"/>
      <c r="C2675" s="549"/>
    </row>
    <row r="2676" spans="2:3" ht="15" customHeight="1">
      <c r="B2676" s="548"/>
      <c r="C2676" s="549"/>
    </row>
    <row r="2677" spans="2:3" ht="15" customHeight="1">
      <c r="B2677" s="548"/>
      <c r="C2677" s="549"/>
    </row>
    <row r="2678" spans="2:3" ht="15" customHeight="1">
      <c r="B2678" s="548"/>
      <c r="C2678" s="549"/>
    </row>
    <row r="2679" spans="2:3" ht="15" customHeight="1">
      <c r="B2679" s="548"/>
      <c r="C2679" s="549"/>
    </row>
    <row r="2680" spans="2:3" ht="15" customHeight="1">
      <c r="B2680" s="548"/>
      <c r="C2680" s="549"/>
    </row>
    <row r="2681" spans="2:3" ht="15" customHeight="1">
      <c r="B2681" s="548"/>
      <c r="C2681" s="549"/>
    </row>
    <row r="2682" spans="2:3" ht="15" customHeight="1">
      <c r="B2682" s="548"/>
      <c r="C2682" s="549"/>
    </row>
    <row r="2683" spans="2:3" ht="15" customHeight="1">
      <c r="B2683" s="548"/>
      <c r="C2683" s="549"/>
    </row>
    <row r="2684" spans="2:3" ht="15" customHeight="1">
      <c r="B2684" s="548"/>
      <c r="C2684" s="549"/>
    </row>
    <row r="2685" spans="2:3" ht="15" customHeight="1">
      <c r="B2685" s="548"/>
      <c r="C2685" s="549"/>
    </row>
    <row r="2686" spans="2:3" ht="15" customHeight="1">
      <c r="B2686" s="548"/>
      <c r="C2686" s="549"/>
    </row>
    <row r="2687" spans="2:3" ht="15" customHeight="1">
      <c r="B2687" s="548"/>
      <c r="C2687" s="549"/>
    </row>
    <row r="2688" spans="2:3" ht="15" customHeight="1">
      <c r="B2688" s="548"/>
      <c r="C2688" s="549"/>
    </row>
    <row r="2689" spans="2:3" ht="15" customHeight="1">
      <c r="B2689" s="548"/>
      <c r="C2689" s="549"/>
    </row>
    <row r="2690" spans="2:3" ht="15" customHeight="1">
      <c r="B2690" s="548"/>
      <c r="C2690" s="549"/>
    </row>
    <row r="2691" spans="2:3" ht="15" customHeight="1">
      <c r="B2691" s="548"/>
      <c r="C2691" s="549"/>
    </row>
    <row r="2692" spans="2:3" ht="15" customHeight="1">
      <c r="B2692" s="548"/>
      <c r="C2692" s="549"/>
    </row>
    <row r="2693" spans="2:3" ht="15" customHeight="1">
      <c r="B2693" s="548"/>
      <c r="C2693" s="549"/>
    </row>
    <row r="2694" spans="2:3" ht="15" customHeight="1">
      <c r="B2694" s="548"/>
      <c r="C2694" s="549"/>
    </row>
    <row r="2695" spans="2:3" ht="15" customHeight="1">
      <c r="B2695" s="548"/>
      <c r="C2695" s="549"/>
    </row>
    <row r="2696" spans="2:3" ht="15" customHeight="1">
      <c r="B2696" s="548"/>
      <c r="C2696" s="549"/>
    </row>
    <row r="2697" spans="2:3" ht="15" customHeight="1">
      <c r="B2697" s="548"/>
      <c r="C2697" s="549"/>
    </row>
    <row r="2698" spans="2:3" ht="15" customHeight="1">
      <c r="B2698" s="548"/>
      <c r="C2698" s="549"/>
    </row>
    <row r="2699" spans="2:3" ht="15" customHeight="1">
      <c r="B2699" s="548"/>
      <c r="C2699" s="549"/>
    </row>
    <row r="2700" spans="2:3" ht="15" customHeight="1">
      <c r="B2700" s="548"/>
      <c r="C2700" s="549"/>
    </row>
    <row r="2701" spans="2:3" ht="15" customHeight="1">
      <c r="B2701" s="548"/>
      <c r="C2701" s="549"/>
    </row>
    <row r="2702" spans="2:3" ht="15" customHeight="1">
      <c r="B2702" s="548"/>
      <c r="C2702" s="549"/>
    </row>
    <row r="2703" spans="2:3" ht="15" customHeight="1">
      <c r="B2703" s="548"/>
      <c r="C2703" s="549"/>
    </row>
    <row r="2704" spans="2:3" ht="15" customHeight="1">
      <c r="B2704" s="548"/>
      <c r="C2704" s="549"/>
    </row>
    <row r="2705" spans="2:3" ht="15" customHeight="1">
      <c r="B2705" s="548"/>
      <c r="C2705" s="549"/>
    </row>
    <row r="2706" spans="2:3" ht="15" customHeight="1">
      <c r="B2706" s="548"/>
      <c r="C2706" s="549"/>
    </row>
    <row r="2707" spans="2:3" ht="15" customHeight="1">
      <c r="B2707" s="548"/>
      <c r="C2707" s="549"/>
    </row>
    <row r="2708" spans="2:3" ht="15" customHeight="1">
      <c r="B2708" s="548"/>
      <c r="C2708" s="549"/>
    </row>
    <row r="2709" spans="2:3" ht="15" customHeight="1">
      <c r="B2709" s="548"/>
      <c r="C2709" s="549"/>
    </row>
    <row r="2710" spans="2:3" ht="15" customHeight="1">
      <c r="B2710" s="548"/>
      <c r="C2710" s="549"/>
    </row>
    <row r="2711" spans="2:3" ht="15" customHeight="1">
      <c r="B2711" s="548"/>
      <c r="C2711" s="549"/>
    </row>
    <row r="2712" spans="2:3" ht="15" customHeight="1">
      <c r="B2712" s="548"/>
      <c r="C2712" s="549"/>
    </row>
    <row r="2713" spans="2:3" ht="15" customHeight="1">
      <c r="B2713" s="548"/>
      <c r="C2713" s="549"/>
    </row>
    <row r="2714" spans="2:3" ht="15" customHeight="1">
      <c r="B2714" s="548"/>
      <c r="C2714" s="549"/>
    </row>
    <row r="2715" spans="2:3" ht="15" customHeight="1">
      <c r="B2715" s="548"/>
      <c r="C2715" s="549"/>
    </row>
    <row r="2716" spans="2:3" ht="15" customHeight="1">
      <c r="B2716" s="548"/>
      <c r="C2716" s="549"/>
    </row>
    <row r="2717" spans="2:3" ht="15" customHeight="1">
      <c r="B2717" s="548"/>
      <c r="C2717" s="549"/>
    </row>
    <row r="2718" spans="2:3" ht="15" customHeight="1">
      <c r="B2718" s="548"/>
      <c r="C2718" s="549"/>
    </row>
    <row r="2719" spans="2:3" ht="15" customHeight="1">
      <c r="B2719" s="548"/>
      <c r="C2719" s="549"/>
    </row>
    <row r="2720" spans="2:3" ht="15" customHeight="1">
      <c r="B2720" s="548"/>
      <c r="C2720" s="549"/>
    </row>
    <row r="2721" spans="2:3" ht="15" customHeight="1">
      <c r="B2721" s="548"/>
      <c r="C2721" s="549"/>
    </row>
    <row r="2722" spans="2:3" ht="15" customHeight="1">
      <c r="B2722" s="548"/>
      <c r="C2722" s="549"/>
    </row>
    <row r="2723" spans="2:3" ht="15" customHeight="1">
      <c r="B2723" s="548"/>
      <c r="C2723" s="549"/>
    </row>
    <row r="2724" spans="2:3" ht="15" customHeight="1">
      <c r="B2724" s="548"/>
      <c r="C2724" s="549"/>
    </row>
    <row r="2725" spans="2:3" ht="15" customHeight="1">
      <c r="B2725" s="548"/>
      <c r="C2725" s="549"/>
    </row>
    <row r="2726" spans="2:3" ht="15" customHeight="1">
      <c r="B2726" s="548"/>
      <c r="C2726" s="549"/>
    </row>
    <row r="2727" spans="2:3" ht="15" customHeight="1">
      <c r="B2727" s="548"/>
      <c r="C2727" s="549"/>
    </row>
    <row r="2728" spans="2:3" ht="15" customHeight="1">
      <c r="B2728" s="548"/>
      <c r="C2728" s="549"/>
    </row>
    <row r="2729" spans="2:3" ht="15" customHeight="1">
      <c r="B2729" s="548"/>
      <c r="C2729" s="549"/>
    </row>
    <row r="2730" spans="2:3" ht="15" customHeight="1">
      <c r="B2730" s="548"/>
      <c r="C2730" s="549"/>
    </row>
    <row r="2731" spans="2:3" ht="15" customHeight="1">
      <c r="B2731" s="548"/>
      <c r="C2731" s="549"/>
    </row>
    <row r="2732" spans="2:3" ht="15" customHeight="1">
      <c r="B2732" s="548"/>
      <c r="C2732" s="549"/>
    </row>
    <row r="2733" spans="2:3" ht="15" customHeight="1">
      <c r="B2733" s="548"/>
      <c r="C2733" s="549"/>
    </row>
    <row r="2734" spans="2:3" ht="15" customHeight="1">
      <c r="B2734" s="548"/>
      <c r="C2734" s="549"/>
    </row>
    <row r="2735" spans="2:3" ht="15" customHeight="1">
      <c r="B2735" s="548"/>
      <c r="C2735" s="549"/>
    </row>
    <row r="2736" spans="2:3" ht="15" customHeight="1">
      <c r="B2736" s="548"/>
      <c r="C2736" s="549"/>
    </row>
    <row r="2737" spans="2:3" ht="15" customHeight="1">
      <c r="B2737" s="548"/>
      <c r="C2737" s="549"/>
    </row>
    <row r="2738" spans="2:3" ht="15" customHeight="1">
      <c r="B2738" s="548"/>
      <c r="C2738" s="549"/>
    </row>
    <row r="2739" spans="2:3" ht="15" customHeight="1">
      <c r="B2739" s="548"/>
      <c r="C2739" s="549"/>
    </row>
    <row r="2740" spans="2:3" ht="15" customHeight="1">
      <c r="B2740" s="548"/>
      <c r="C2740" s="549"/>
    </row>
    <row r="2741" spans="2:3" ht="15" customHeight="1">
      <c r="B2741" s="548"/>
      <c r="C2741" s="549"/>
    </row>
    <row r="2742" spans="2:3" ht="15" customHeight="1">
      <c r="B2742" s="548"/>
      <c r="C2742" s="549"/>
    </row>
    <row r="2743" spans="2:3" ht="15" customHeight="1">
      <c r="B2743" s="548"/>
      <c r="C2743" s="549"/>
    </row>
    <row r="2744" spans="2:3" ht="15" customHeight="1">
      <c r="B2744" s="548"/>
      <c r="C2744" s="549"/>
    </row>
    <row r="2745" spans="2:3" ht="15" customHeight="1">
      <c r="B2745" s="548"/>
      <c r="C2745" s="549"/>
    </row>
    <row r="2746" spans="2:3" ht="15" customHeight="1">
      <c r="B2746" s="548"/>
      <c r="C2746" s="549"/>
    </row>
    <row r="2747" spans="2:3" ht="15" customHeight="1">
      <c r="B2747" s="548"/>
      <c r="C2747" s="549"/>
    </row>
    <row r="2748" spans="2:3" ht="15" customHeight="1">
      <c r="B2748" s="548"/>
      <c r="C2748" s="549"/>
    </row>
    <row r="2749" spans="2:3" ht="15" customHeight="1">
      <c r="B2749" s="548"/>
      <c r="C2749" s="549"/>
    </row>
    <row r="2750" spans="2:3" ht="15" customHeight="1">
      <c r="B2750" s="548"/>
      <c r="C2750" s="549"/>
    </row>
    <row r="2751" spans="2:3" ht="15" customHeight="1">
      <c r="B2751" s="548"/>
      <c r="C2751" s="549"/>
    </row>
    <row r="2752" spans="2:3" ht="15" customHeight="1">
      <c r="B2752" s="548"/>
      <c r="C2752" s="549"/>
    </row>
    <row r="2753" spans="2:3" ht="15" customHeight="1">
      <c r="B2753" s="548"/>
      <c r="C2753" s="549"/>
    </row>
    <row r="2754" spans="2:3" ht="15" customHeight="1">
      <c r="B2754" s="548"/>
      <c r="C2754" s="549"/>
    </row>
    <row r="2755" spans="2:3" ht="15" customHeight="1">
      <c r="B2755" s="548"/>
      <c r="C2755" s="549"/>
    </row>
    <row r="2756" spans="2:3" ht="15" customHeight="1">
      <c r="B2756" s="548"/>
      <c r="C2756" s="549"/>
    </row>
    <row r="2757" spans="2:3" ht="15" customHeight="1">
      <c r="B2757" s="548"/>
      <c r="C2757" s="549"/>
    </row>
    <row r="2758" spans="2:3" ht="15" customHeight="1">
      <c r="B2758" s="548"/>
      <c r="C2758" s="549"/>
    </row>
    <row r="2759" spans="2:3" ht="15" customHeight="1">
      <c r="B2759" s="548"/>
      <c r="C2759" s="549"/>
    </row>
    <row r="2760" spans="2:3" ht="15" customHeight="1">
      <c r="B2760" s="548"/>
      <c r="C2760" s="549"/>
    </row>
    <row r="2761" spans="2:3" ht="15" customHeight="1">
      <c r="B2761" s="548"/>
      <c r="C2761" s="549"/>
    </row>
    <row r="2762" spans="2:3" ht="15" customHeight="1">
      <c r="B2762" s="548"/>
      <c r="C2762" s="549"/>
    </row>
    <row r="2763" spans="2:3" ht="15" customHeight="1">
      <c r="B2763" s="548"/>
      <c r="C2763" s="549"/>
    </row>
    <row r="2764" spans="2:3" ht="15" customHeight="1">
      <c r="B2764" s="548"/>
      <c r="C2764" s="549"/>
    </row>
    <row r="2765" spans="2:3" ht="15" customHeight="1">
      <c r="B2765" s="548"/>
      <c r="C2765" s="549"/>
    </row>
    <row r="2766" spans="2:3" ht="15" customHeight="1">
      <c r="B2766" s="548"/>
      <c r="C2766" s="549"/>
    </row>
    <row r="2767" spans="2:3" ht="15" customHeight="1">
      <c r="B2767" s="548"/>
      <c r="C2767" s="549"/>
    </row>
    <row r="2768" spans="2:3" ht="15" customHeight="1">
      <c r="B2768" s="548"/>
      <c r="C2768" s="549"/>
    </row>
    <row r="2769" spans="2:3" ht="15" customHeight="1">
      <c r="B2769" s="548"/>
      <c r="C2769" s="549"/>
    </row>
    <row r="2770" spans="2:3" ht="15" customHeight="1">
      <c r="B2770" s="548"/>
      <c r="C2770" s="549"/>
    </row>
    <row r="2771" spans="2:3" ht="15" customHeight="1">
      <c r="B2771" s="548"/>
      <c r="C2771" s="549"/>
    </row>
    <row r="2772" spans="2:3" ht="15" customHeight="1">
      <c r="B2772" s="548"/>
      <c r="C2772" s="549"/>
    </row>
    <row r="2773" spans="2:3" ht="15" customHeight="1">
      <c r="B2773" s="548"/>
      <c r="C2773" s="549"/>
    </row>
    <row r="2774" spans="2:3" ht="15" customHeight="1">
      <c r="B2774" s="548"/>
      <c r="C2774" s="549"/>
    </row>
    <row r="2775" spans="2:3" ht="15" customHeight="1">
      <c r="B2775" s="548"/>
      <c r="C2775" s="549"/>
    </row>
    <row r="2776" spans="2:3" ht="15" customHeight="1">
      <c r="B2776" s="548"/>
      <c r="C2776" s="549"/>
    </row>
    <row r="2777" spans="2:3" ht="15" customHeight="1">
      <c r="B2777" s="548"/>
      <c r="C2777" s="549"/>
    </row>
    <row r="2778" spans="2:3" ht="15" customHeight="1">
      <c r="B2778" s="548"/>
      <c r="C2778" s="549"/>
    </row>
    <row r="2779" spans="2:3" ht="15" customHeight="1">
      <c r="B2779" s="548"/>
      <c r="C2779" s="549"/>
    </row>
    <row r="2780" spans="2:3" ht="15" customHeight="1">
      <c r="B2780" s="548"/>
      <c r="C2780" s="549"/>
    </row>
    <row r="2781" spans="2:3" ht="15" customHeight="1">
      <c r="B2781" s="548"/>
      <c r="C2781" s="549"/>
    </row>
    <row r="2782" spans="2:3" ht="15" customHeight="1">
      <c r="B2782" s="548"/>
      <c r="C2782" s="549"/>
    </row>
    <row r="2783" spans="2:3" ht="15" customHeight="1">
      <c r="B2783" s="548"/>
      <c r="C2783" s="549"/>
    </row>
    <row r="2784" spans="2:3" ht="15" customHeight="1">
      <c r="B2784" s="548"/>
      <c r="C2784" s="549"/>
    </row>
    <row r="2785" spans="2:3" ht="15" customHeight="1">
      <c r="B2785" s="548"/>
      <c r="C2785" s="549"/>
    </row>
    <row r="2786" spans="2:3" ht="15" customHeight="1">
      <c r="B2786" s="548"/>
      <c r="C2786" s="549"/>
    </row>
    <row r="2787" spans="2:3" ht="15" customHeight="1">
      <c r="B2787" s="548"/>
      <c r="C2787" s="549"/>
    </row>
    <row r="2788" spans="2:3" ht="15" customHeight="1">
      <c r="B2788" s="548"/>
      <c r="C2788" s="549"/>
    </row>
    <row r="2789" spans="2:3" ht="15" customHeight="1">
      <c r="B2789" s="548"/>
      <c r="C2789" s="549"/>
    </row>
    <row r="2790" spans="2:3" ht="15" customHeight="1">
      <c r="B2790" s="548"/>
      <c r="C2790" s="549"/>
    </row>
    <row r="2791" spans="2:3" ht="15" customHeight="1">
      <c r="B2791" s="548"/>
      <c r="C2791" s="549"/>
    </row>
    <row r="2792" spans="2:3" ht="15" customHeight="1">
      <c r="B2792" s="548"/>
      <c r="C2792" s="549"/>
    </row>
    <row r="2793" spans="2:3" ht="15" customHeight="1">
      <c r="B2793" s="548"/>
      <c r="C2793" s="549"/>
    </row>
    <row r="2794" spans="2:3" ht="15" customHeight="1">
      <c r="B2794" s="548"/>
      <c r="C2794" s="549"/>
    </row>
    <row r="2795" spans="2:3" ht="15" customHeight="1">
      <c r="B2795" s="548"/>
      <c r="C2795" s="549"/>
    </row>
    <row r="2796" spans="2:3" ht="15" customHeight="1">
      <c r="B2796" s="548"/>
      <c r="C2796" s="549"/>
    </row>
    <row r="2797" spans="2:3" ht="15" customHeight="1">
      <c r="B2797" s="548"/>
      <c r="C2797" s="549"/>
    </row>
    <row r="2798" spans="2:3" ht="15" customHeight="1">
      <c r="B2798" s="548"/>
      <c r="C2798" s="549"/>
    </row>
    <row r="2799" spans="2:3" ht="15" customHeight="1">
      <c r="B2799" s="548"/>
      <c r="C2799" s="549"/>
    </row>
    <row r="2800" spans="2:3" ht="15" customHeight="1">
      <c r="B2800" s="548"/>
      <c r="C2800" s="549"/>
    </row>
    <row r="2801" spans="2:3" ht="15" customHeight="1">
      <c r="B2801" s="548"/>
      <c r="C2801" s="549"/>
    </row>
    <row r="2802" spans="2:3" ht="15" customHeight="1">
      <c r="B2802" s="548"/>
      <c r="C2802" s="549"/>
    </row>
    <row r="2803" spans="2:3" ht="15" customHeight="1">
      <c r="B2803" s="548"/>
      <c r="C2803" s="549"/>
    </row>
    <row r="2804" spans="2:3" ht="15" customHeight="1">
      <c r="B2804" s="548"/>
      <c r="C2804" s="549"/>
    </row>
    <row r="2805" spans="2:3" ht="15" customHeight="1">
      <c r="B2805" s="548"/>
      <c r="C2805" s="549"/>
    </row>
    <row r="2806" spans="2:3" ht="15" customHeight="1">
      <c r="B2806" s="548"/>
      <c r="C2806" s="549"/>
    </row>
    <row r="2807" spans="2:3" ht="15" customHeight="1">
      <c r="B2807" s="548"/>
      <c r="C2807" s="549"/>
    </row>
    <row r="2808" spans="2:3" ht="15" customHeight="1">
      <c r="B2808" s="548"/>
      <c r="C2808" s="549"/>
    </row>
    <row r="2809" spans="2:3" ht="15" customHeight="1">
      <c r="B2809" s="548"/>
      <c r="C2809" s="549"/>
    </row>
    <row r="2810" spans="2:3" ht="15" customHeight="1">
      <c r="B2810" s="548"/>
      <c r="C2810" s="549"/>
    </row>
    <row r="2811" spans="2:3" ht="15" customHeight="1">
      <c r="B2811" s="548"/>
      <c r="C2811" s="549"/>
    </row>
    <row r="2812" spans="2:3" ht="15" customHeight="1">
      <c r="B2812" s="548"/>
      <c r="C2812" s="549"/>
    </row>
    <row r="2813" spans="2:3" ht="15" customHeight="1">
      <c r="B2813" s="548"/>
      <c r="C2813" s="549"/>
    </row>
    <row r="2814" spans="2:3" ht="15" customHeight="1">
      <c r="B2814" s="548"/>
      <c r="C2814" s="549"/>
    </row>
    <row r="2815" spans="2:3" ht="15" customHeight="1">
      <c r="B2815" s="548"/>
      <c r="C2815" s="549"/>
    </row>
    <row r="2816" spans="2:3" ht="15" customHeight="1">
      <c r="B2816" s="548"/>
      <c r="C2816" s="549"/>
    </row>
    <row r="2817" spans="2:3" ht="15" customHeight="1">
      <c r="B2817" s="548"/>
      <c r="C2817" s="549"/>
    </row>
    <row r="2818" spans="2:3" ht="15" customHeight="1">
      <c r="B2818" s="548"/>
      <c r="C2818" s="549"/>
    </row>
    <row r="2819" spans="2:3" ht="15" customHeight="1">
      <c r="B2819" s="548"/>
      <c r="C2819" s="549"/>
    </row>
    <row r="2820" spans="2:3" ht="15" customHeight="1">
      <c r="B2820" s="548"/>
      <c r="C2820" s="549"/>
    </row>
    <row r="2821" spans="2:3" ht="15" customHeight="1">
      <c r="B2821" s="548"/>
      <c r="C2821" s="549"/>
    </row>
    <row r="2822" spans="2:3" ht="15" customHeight="1">
      <c r="B2822" s="548"/>
      <c r="C2822" s="549"/>
    </row>
    <row r="2823" spans="2:3" ht="15" customHeight="1">
      <c r="B2823" s="548"/>
      <c r="C2823" s="549"/>
    </row>
    <row r="2824" spans="2:3" ht="15" customHeight="1">
      <c r="B2824" s="548"/>
      <c r="C2824" s="549"/>
    </row>
    <row r="2825" spans="2:3" ht="15" customHeight="1">
      <c r="B2825" s="548"/>
      <c r="C2825" s="549"/>
    </row>
    <row r="2826" spans="2:3" ht="15" customHeight="1">
      <c r="B2826" s="548"/>
      <c r="C2826" s="549"/>
    </row>
    <row r="2827" spans="2:3" ht="15" customHeight="1">
      <c r="B2827" s="548"/>
      <c r="C2827" s="549"/>
    </row>
    <row r="2828" spans="2:3" ht="15" customHeight="1">
      <c r="B2828" s="548"/>
      <c r="C2828" s="549"/>
    </row>
    <row r="2829" spans="2:3" ht="15" customHeight="1">
      <c r="B2829" s="548"/>
      <c r="C2829" s="549"/>
    </row>
    <row r="2830" spans="2:3" ht="15" customHeight="1">
      <c r="B2830" s="548"/>
      <c r="C2830" s="549"/>
    </row>
    <row r="2831" spans="2:3" ht="15" customHeight="1">
      <c r="B2831" s="548"/>
      <c r="C2831" s="549"/>
    </row>
    <row r="2832" spans="2:3" ht="15" customHeight="1">
      <c r="B2832" s="548"/>
      <c r="C2832" s="549"/>
    </row>
    <row r="2833" spans="2:3" ht="15" customHeight="1">
      <c r="B2833" s="548"/>
      <c r="C2833" s="549"/>
    </row>
    <row r="2834" spans="2:3" ht="15" customHeight="1">
      <c r="B2834" s="548"/>
      <c r="C2834" s="549"/>
    </row>
    <row r="2835" spans="2:3" ht="15" customHeight="1">
      <c r="B2835" s="548"/>
      <c r="C2835" s="549"/>
    </row>
    <row r="2836" spans="2:3" ht="15" customHeight="1">
      <c r="B2836" s="548"/>
      <c r="C2836" s="549"/>
    </row>
    <row r="2837" spans="2:3" ht="15" customHeight="1">
      <c r="B2837" s="548"/>
      <c r="C2837" s="549"/>
    </row>
    <row r="2838" spans="2:3" ht="15" customHeight="1">
      <c r="B2838" s="548"/>
      <c r="C2838" s="549"/>
    </row>
    <row r="2839" spans="2:3" ht="15" customHeight="1">
      <c r="B2839" s="548"/>
      <c r="C2839" s="549"/>
    </row>
    <row r="2840" spans="2:3" ht="15" customHeight="1">
      <c r="B2840" s="548"/>
      <c r="C2840" s="549"/>
    </row>
    <row r="2841" spans="2:3" ht="15" customHeight="1">
      <c r="B2841" s="548"/>
      <c r="C2841" s="549"/>
    </row>
    <row r="2842" spans="2:3" ht="15" customHeight="1">
      <c r="B2842" s="548"/>
      <c r="C2842" s="549"/>
    </row>
    <row r="2843" spans="2:3" ht="15" customHeight="1">
      <c r="B2843" s="548"/>
      <c r="C2843" s="549"/>
    </row>
    <row r="2844" spans="2:3" ht="15" customHeight="1">
      <c r="B2844" s="548"/>
      <c r="C2844" s="549"/>
    </row>
    <row r="2845" spans="2:3" ht="15" customHeight="1">
      <c r="B2845" s="548"/>
      <c r="C2845" s="549"/>
    </row>
    <row r="2846" spans="2:3" ht="15" customHeight="1">
      <c r="B2846" s="548"/>
      <c r="C2846" s="549"/>
    </row>
    <row r="2847" spans="2:3" ht="15" customHeight="1">
      <c r="B2847" s="548"/>
      <c r="C2847" s="549"/>
    </row>
    <row r="2848" spans="2:3" ht="15" customHeight="1">
      <c r="B2848" s="548"/>
      <c r="C2848" s="549"/>
    </row>
    <row r="2849" spans="2:3" ht="15" customHeight="1">
      <c r="B2849" s="548"/>
      <c r="C2849" s="549"/>
    </row>
    <row r="2850" spans="2:3" ht="15" customHeight="1">
      <c r="B2850" s="548"/>
      <c r="C2850" s="549"/>
    </row>
    <row r="2851" spans="2:3" ht="15" customHeight="1">
      <c r="B2851" s="548"/>
      <c r="C2851" s="549"/>
    </row>
    <row r="2852" spans="2:3" ht="15" customHeight="1">
      <c r="B2852" s="548"/>
      <c r="C2852" s="549"/>
    </row>
    <row r="2853" spans="2:3" ht="15" customHeight="1">
      <c r="B2853" s="548"/>
      <c r="C2853" s="549"/>
    </row>
    <row r="2854" spans="2:3" ht="15" customHeight="1">
      <c r="B2854" s="548"/>
      <c r="C2854" s="549"/>
    </row>
    <row r="2855" spans="2:3" ht="15" customHeight="1">
      <c r="B2855" s="548"/>
      <c r="C2855" s="549"/>
    </row>
    <row r="2856" spans="2:3" ht="15" customHeight="1">
      <c r="B2856" s="548"/>
      <c r="C2856" s="549"/>
    </row>
    <row r="2857" spans="2:3" ht="15" customHeight="1">
      <c r="B2857" s="548"/>
      <c r="C2857" s="549"/>
    </row>
    <row r="2858" spans="2:3" ht="15" customHeight="1">
      <c r="B2858" s="548"/>
      <c r="C2858" s="549"/>
    </row>
    <row r="2859" spans="2:3" ht="15" customHeight="1">
      <c r="B2859" s="548"/>
      <c r="C2859" s="549"/>
    </row>
    <row r="2860" spans="2:3" ht="15" customHeight="1">
      <c r="B2860" s="548"/>
      <c r="C2860" s="549"/>
    </row>
    <row r="2861" spans="2:3" ht="15" customHeight="1">
      <c r="B2861" s="548"/>
      <c r="C2861" s="549"/>
    </row>
    <row r="2862" spans="2:3" ht="15" customHeight="1">
      <c r="B2862" s="548"/>
      <c r="C2862" s="549"/>
    </row>
    <row r="2863" spans="2:3" ht="15" customHeight="1">
      <c r="B2863" s="548"/>
      <c r="C2863" s="549"/>
    </row>
    <row r="2864" spans="2:3" ht="15" customHeight="1">
      <c r="B2864" s="548"/>
      <c r="C2864" s="549"/>
    </row>
    <row r="2865" spans="2:3" ht="15" customHeight="1">
      <c r="B2865" s="548"/>
      <c r="C2865" s="549"/>
    </row>
    <row r="2866" spans="2:3" ht="15" customHeight="1">
      <c r="B2866" s="548"/>
      <c r="C2866" s="549"/>
    </row>
    <row r="2867" spans="2:3" ht="15" customHeight="1">
      <c r="B2867" s="548"/>
      <c r="C2867" s="549"/>
    </row>
    <row r="2868" spans="2:3" ht="15" customHeight="1">
      <c r="B2868" s="548"/>
      <c r="C2868" s="549"/>
    </row>
    <row r="2869" spans="2:3" ht="15" customHeight="1">
      <c r="B2869" s="548"/>
      <c r="C2869" s="549"/>
    </row>
    <row r="2870" spans="2:3" ht="15" customHeight="1">
      <c r="B2870" s="548"/>
      <c r="C2870" s="549"/>
    </row>
    <row r="2871" spans="2:3" ht="15" customHeight="1">
      <c r="B2871" s="548"/>
      <c r="C2871" s="549"/>
    </row>
    <row r="2872" spans="2:3" ht="15" customHeight="1">
      <c r="B2872" s="548"/>
      <c r="C2872" s="549"/>
    </row>
    <row r="2873" spans="2:3" ht="15" customHeight="1">
      <c r="B2873" s="548"/>
      <c r="C2873" s="549"/>
    </row>
    <row r="2874" spans="2:3" ht="15" customHeight="1">
      <c r="B2874" s="548"/>
      <c r="C2874" s="549"/>
    </row>
    <row r="2875" spans="2:3" ht="15" customHeight="1">
      <c r="B2875" s="548"/>
      <c r="C2875" s="549"/>
    </row>
    <row r="2876" spans="2:3" ht="15" customHeight="1">
      <c r="B2876" s="548"/>
      <c r="C2876" s="549"/>
    </row>
    <row r="2877" spans="2:3" ht="15" customHeight="1">
      <c r="B2877" s="548"/>
      <c r="C2877" s="549"/>
    </row>
    <row r="2878" spans="2:3" ht="15" customHeight="1">
      <c r="B2878" s="548"/>
      <c r="C2878" s="549"/>
    </row>
    <row r="2879" spans="2:3" ht="15" customHeight="1">
      <c r="B2879" s="548"/>
      <c r="C2879" s="549"/>
    </row>
    <row r="2880" spans="2:3" ht="15" customHeight="1">
      <c r="B2880" s="548"/>
      <c r="C2880" s="549"/>
    </row>
    <row r="2881" spans="2:3" ht="15" customHeight="1">
      <c r="B2881" s="548"/>
      <c r="C2881" s="549"/>
    </row>
    <row r="2882" spans="2:3" ht="15" customHeight="1">
      <c r="B2882" s="548"/>
      <c r="C2882" s="549"/>
    </row>
    <row r="2883" spans="2:3" ht="15" customHeight="1">
      <c r="B2883" s="548"/>
      <c r="C2883" s="549"/>
    </row>
    <row r="2884" spans="2:3" ht="15" customHeight="1">
      <c r="B2884" s="548"/>
      <c r="C2884" s="549"/>
    </row>
    <row r="2885" spans="2:3" ht="15" customHeight="1">
      <c r="B2885" s="548"/>
      <c r="C2885" s="549"/>
    </row>
    <row r="2886" spans="2:3" ht="15" customHeight="1">
      <c r="B2886" s="548"/>
      <c r="C2886" s="549"/>
    </row>
    <row r="2887" spans="2:3" ht="15" customHeight="1">
      <c r="B2887" s="548"/>
      <c r="C2887" s="549"/>
    </row>
    <row r="2888" spans="2:3" ht="15" customHeight="1">
      <c r="B2888" s="548"/>
      <c r="C2888" s="549"/>
    </row>
    <row r="2889" spans="2:3" ht="15" customHeight="1">
      <c r="B2889" s="548"/>
      <c r="C2889" s="549"/>
    </row>
    <row r="2890" spans="2:3" ht="15" customHeight="1">
      <c r="B2890" s="548"/>
      <c r="C2890" s="549"/>
    </row>
    <row r="2891" spans="2:3" ht="15" customHeight="1">
      <c r="B2891" s="548"/>
      <c r="C2891" s="549"/>
    </row>
    <row r="2892" spans="2:3" ht="15" customHeight="1">
      <c r="B2892" s="548"/>
      <c r="C2892" s="549"/>
    </row>
    <row r="2893" spans="2:3" ht="15" customHeight="1">
      <c r="B2893" s="548"/>
      <c r="C2893" s="549"/>
    </row>
    <row r="2894" spans="2:3" ht="15" customHeight="1">
      <c r="B2894" s="548"/>
      <c r="C2894" s="549"/>
    </row>
    <row r="2895" spans="2:3" ht="15" customHeight="1">
      <c r="B2895" s="548"/>
      <c r="C2895" s="549"/>
    </row>
    <row r="2896" spans="2:3" ht="15" customHeight="1">
      <c r="B2896" s="548"/>
      <c r="C2896" s="549"/>
    </row>
    <row r="2897" spans="2:3" ht="15" customHeight="1">
      <c r="B2897" s="548"/>
      <c r="C2897" s="549"/>
    </row>
    <row r="2898" spans="2:3" ht="15" customHeight="1">
      <c r="B2898" s="548"/>
      <c r="C2898" s="549"/>
    </row>
    <row r="2899" spans="2:3" ht="15" customHeight="1">
      <c r="B2899" s="548"/>
      <c r="C2899" s="549"/>
    </row>
    <row r="2900" spans="2:3" ht="15" customHeight="1">
      <c r="B2900" s="548"/>
      <c r="C2900" s="549"/>
    </row>
    <row r="2901" spans="2:3" ht="15" customHeight="1">
      <c r="B2901" s="548"/>
      <c r="C2901" s="549"/>
    </row>
    <row r="2902" spans="2:3" ht="15" customHeight="1">
      <c r="B2902" s="548"/>
      <c r="C2902" s="549"/>
    </row>
    <row r="2903" spans="2:3" ht="15" customHeight="1">
      <c r="B2903" s="548"/>
      <c r="C2903" s="549"/>
    </row>
    <row r="2904" spans="2:3" ht="15" customHeight="1">
      <c r="B2904" s="548"/>
      <c r="C2904" s="549"/>
    </row>
    <row r="2905" spans="2:3" ht="15" customHeight="1">
      <c r="B2905" s="548"/>
      <c r="C2905" s="549"/>
    </row>
    <row r="2906" spans="2:3" ht="15" customHeight="1">
      <c r="B2906" s="548"/>
      <c r="C2906" s="549"/>
    </row>
    <row r="2907" spans="2:3" ht="15" customHeight="1">
      <c r="B2907" s="548"/>
      <c r="C2907" s="549"/>
    </row>
    <row r="2908" spans="2:3" ht="15" customHeight="1">
      <c r="B2908" s="548"/>
      <c r="C2908" s="549"/>
    </row>
    <row r="2909" spans="2:3" ht="15" customHeight="1">
      <c r="B2909" s="548"/>
      <c r="C2909" s="549"/>
    </row>
    <row r="2910" spans="2:3" ht="15" customHeight="1">
      <c r="B2910" s="548"/>
      <c r="C2910" s="549"/>
    </row>
    <row r="2911" spans="2:3" ht="15" customHeight="1">
      <c r="B2911" s="548"/>
      <c r="C2911" s="549"/>
    </row>
    <row r="2912" spans="2:3" ht="15" customHeight="1">
      <c r="B2912" s="548"/>
      <c r="C2912" s="549"/>
    </row>
    <row r="2913" spans="2:3" ht="15" customHeight="1">
      <c r="B2913" s="548"/>
      <c r="C2913" s="549"/>
    </row>
    <row r="2914" spans="2:3" ht="15" customHeight="1">
      <c r="B2914" s="548"/>
      <c r="C2914" s="549"/>
    </row>
    <row r="2915" spans="2:3" ht="15" customHeight="1">
      <c r="B2915" s="548"/>
      <c r="C2915" s="549"/>
    </row>
    <row r="2916" spans="2:3" ht="15" customHeight="1">
      <c r="B2916" s="548"/>
      <c r="C2916" s="549"/>
    </row>
    <row r="2917" spans="2:3" ht="15" customHeight="1">
      <c r="B2917" s="548"/>
      <c r="C2917" s="549"/>
    </row>
    <row r="2918" spans="2:3" ht="15" customHeight="1">
      <c r="B2918" s="548"/>
      <c r="C2918" s="549"/>
    </row>
    <row r="2919" spans="2:3" ht="15" customHeight="1">
      <c r="B2919" s="548"/>
      <c r="C2919" s="549"/>
    </row>
    <row r="2920" spans="2:3" ht="15" customHeight="1">
      <c r="B2920" s="548"/>
      <c r="C2920" s="549"/>
    </row>
    <row r="2921" spans="2:3" ht="15" customHeight="1">
      <c r="B2921" s="548"/>
      <c r="C2921" s="549"/>
    </row>
    <row r="2922" spans="2:3" ht="15" customHeight="1">
      <c r="B2922" s="548"/>
      <c r="C2922" s="549"/>
    </row>
    <row r="2923" spans="2:3" ht="15" customHeight="1">
      <c r="B2923" s="548"/>
      <c r="C2923" s="549"/>
    </row>
    <row r="2924" spans="2:3" ht="15" customHeight="1">
      <c r="B2924" s="548"/>
      <c r="C2924" s="549"/>
    </row>
    <row r="2925" spans="2:3" ht="15" customHeight="1">
      <c r="B2925" s="548"/>
      <c r="C2925" s="549"/>
    </row>
    <row r="2926" spans="2:3" ht="15" customHeight="1">
      <c r="B2926" s="548"/>
      <c r="C2926" s="549"/>
    </row>
    <row r="2927" spans="2:3" ht="15" customHeight="1">
      <c r="B2927" s="548"/>
      <c r="C2927" s="549"/>
    </row>
    <row r="2928" spans="2:3" ht="15" customHeight="1">
      <c r="B2928" s="548"/>
      <c r="C2928" s="549"/>
    </row>
    <row r="2929" spans="2:3" ht="15" customHeight="1">
      <c r="B2929" s="548"/>
      <c r="C2929" s="549"/>
    </row>
    <row r="2930" spans="2:3" ht="15" customHeight="1">
      <c r="B2930" s="548"/>
      <c r="C2930" s="549"/>
    </row>
    <row r="2931" spans="2:3" ht="15" customHeight="1">
      <c r="B2931" s="548"/>
      <c r="C2931" s="549"/>
    </row>
    <row r="2932" spans="2:3" ht="15" customHeight="1">
      <c r="B2932" s="548"/>
      <c r="C2932" s="549"/>
    </row>
    <row r="2933" spans="2:3" ht="15" customHeight="1">
      <c r="B2933" s="548"/>
      <c r="C2933" s="549"/>
    </row>
    <row r="2934" spans="2:3" ht="15" customHeight="1">
      <c r="B2934" s="548"/>
      <c r="C2934" s="549"/>
    </row>
    <row r="2935" spans="2:3" ht="15" customHeight="1">
      <c r="B2935" s="548"/>
      <c r="C2935" s="549"/>
    </row>
    <row r="2936" spans="2:3" ht="15" customHeight="1">
      <c r="B2936" s="548"/>
      <c r="C2936" s="549"/>
    </row>
    <row r="2937" spans="2:3" ht="15" customHeight="1">
      <c r="B2937" s="548"/>
      <c r="C2937" s="549"/>
    </row>
    <row r="2938" spans="2:3" ht="15" customHeight="1">
      <c r="B2938" s="548"/>
      <c r="C2938" s="549"/>
    </row>
    <row r="2939" spans="2:3" ht="15" customHeight="1">
      <c r="B2939" s="548"/>
      <c r="C2939" s="549"/>
    </row>
    <row r="2940" spans="2:3" ht="15" customHeight="1">
      <c r="B2940" s="548"/>
      <c r="C2940" s="549"/>
    </row>
    <row r="2941" spans="2:3" ht="15" customHeight="1">
      <c r="B2941" s="548"/>
      <c r="C2941" s="549"/>
    </row>
    <row r="2942" spans="2:3" ht="15" customHeight="1">
      <c r="B2942" s="548"/>
      <c r="C2942" s="549"/>
    </row>
    <row r="2943" spans="2:3" ht="15" customHeight="1">
      <c r="B2943" s="548"/>
      <c r="C2943" s="549"/>
    </row>
    <row r="2944" spans="2:3" ht="15" customHeight="1">
      <c r="B2944" s="548"/>
      <c r="C2944" s="549"/>
    </row>
    <row r="2945" spans="2:3" ht="15" customHeight="1">
      <c r="B2945" s="548"/>
      <c r="C2945" s="549"/>
    </row>
    <row r="2946" spans="2:3" ht="15" customHeight="1">
      <c r="B2946" s="548"/>
      <c r="C2946" s="549"/>
    </row>
    <row r="2947" spans="2:3" ht="15" customHeight="1">
      <c r="B2947" s="548"/>
      <c r="C2947" s="549"/>
    </row>
    <row r="2948" spans="2:3" ht="15" customHeight="1">
      <c r="B2948" s="548"/>
      <c r="C2948" s="549"/>
    </row>
    <row r="2949" spans="2:3" ht="15" customHeight="1">
      <c r="B2949" s="548"/>
      <c r="C2949" s="549"/>
    </row>
    <row r="2950" spans="2:3" ht="15" customHeight="1">
      <c r="B2950" s="548"/>
      <c r="C2950" s="549"/>
    </row>
    <row r="2951" spans="2:3" ht="15" customHeight="1">
      <c r="B2951" s="548"/>
      <c r="C2951" s="549"/>
    </row>
    <row r="2952" spans="2:3" ht="15" customHeight="1">
      <c r="B2952" s="548"/>
      <c r="C2952" s="549"/>
    </row>
    <row r="2953" spans="2:3" ht="15" customHeight="1">
      <c r="B2953" s="548"/>
      <c r="C2953" s="549"/>
    </row>
    <row r="2954" spans="2:3" ht="15" customHeight="1">
      <c r="B2954" s="548"/>
      <c r="C2954" s="549"/>
    </row>
    <row r="2955" spans="2:3" ht="15" customHeight="1">
      <c r="B2955" s="548"/>
      <c r="C2955" s="549"/>
    </row>
    <row r="2956" spans="2:3" ht="15" customHeight="1">
      <c r="B2956" s="548"/>
      <c r="C2956" s="549"/>
    </row>
    <row r="2957" spans="2:3" ht="15" customHeight="1">
      <c r="B2957" s="548"/>
      <c r="C2957" s="549"/>
    </row>
    <row r="2958" spans="2:3" ht="15" customHeight="1">
      <c r="B2958" s="548"/>
      <c r="C2958" s="549"/>
    </row>
    <row r="2959" spans="2:3" ht="15" customHeight="1">
      <c r="B2959" s="548"/>
      <c r="C2959" s="549"/>
    </row>
    <row r="2960" spans="2:3" ht="15" customHeight="1">
      <c r="B2960" s="548"/>
      <c r="C2960" s="549"/>
    </row>
    <row r="2961" spans="2:3" ht="15" customHeight="1">
      <c r="B2961" s="548"/>
      <c r="C2961" s="549"/>
    </row>
    <row r="2962" spans="2:3" ht="15" customHeight="1">
      <c r="B2962" s="548"/>
      <c r="C2962" s="549"/>
    </row>
    <row r="2963" spans="2:3" ht="15" customHeight="1">
      <c r="B2963" s="548"/>
      <c r="C2963" s="549"/>
    </row>
    <row r="2964" spans="2:3" ht="15" customHeight="1">
      <c r="B2964" s="548"/>
      <c r="C2964" s="549"/>
    </row>
    <row r="2965" spans="2:3" ht="15" customHeight="1">
      <c r="B2965" s="548"/>
      <c r="C2965" s="549"/>
    </row>
    <row r="2966" spans="2:3" ht="15" customHeight="1">
      <c r="B2966" s="548"/>
      <c r="C2966" s="549"/>
    </row>
    <row r="2967" spans="2:3" ht="15" customHeight="1">
      <c r="B2967" s="548"/>
      <c r="C2967" s="549"/>
    </row>
    <row r="2968" spans="2:3" ht="15" customHeight="1">
      <c r="B2968" s="548"/>
      <c r="C2968" s="549"/>
    </row>
    <row r="2969" spans="2:3" ht="15" customHeight="1">
      <c r="B2969" s="548"/>
      <c r="C2969" s="549"/>
    </row>
    <row r="2970" spans="2:3" ht="15" customHeight="1">
      <c r="B2970" s="548"/>
      <c r="C2970" s="549"/>
    </row>
    <row r="2971" spans="2:3" ht="15" customHeight="1">
      <c r="B2971" s="548"/>
      <c r="C2971" s="549"/>
    </row>
    <row r="2972" spans="2:3" ht="15" customHeight="1">
      <c r="B2972" s="548"/>
      <c r="C2972" s="549"/>
    </row>
    <row r="2973" spans="2:3" ht="15" customHeight="1">
      <c r="B2973" s="548"/>
      <c r="C2973" s="549"/>
    </row>
    <row r="2974" spans="2:3" ht="15" customHeight="1">
      <c r="B2974" s="548"/>
      <c r="C2974" s="549"/>
    </row>
    <row r="2975" spans="2:3" ht="15" customHeight="1">
      <c r="B2975" s="548"/>
      <c r="C2975" s="549"/>
    </row>
    <row r="2976" spans="2:3" ht="15" customHeight="1">
      <c r="B2976" s="548"/>
      <c r="C2976" s="549"/>
    </row>
    <row r="2977" spans="2:3" ht="15" customHeight="1">
      <c r="B2977" s="548"/>
      <c r="C2977" s="549"/>
    </row>
    <row r="2978" spans="2:3" ht="15" customHeight="1">
      <c r="B2978" s="548"/>
      <c r="C2978" s="549"/>
    </row>
    <row r="2979" spans="2:3" ht="15" customHeight="1">
      <c r="B2979" s="548"/>
      <c r="C2979" s="549"/>
    </row>
    <row r="2980" spans="2:3" ht="15" customHeight="1">
      <c r="B2980" s="548"/>
      <c r="C2980" s="549"/>
    </row>
    <row r="2981" spans="2:3" ht="15" customHeight="1">
      <c r="B2981" s="548"/>
      <c r="C2981" s="549"/>
    </row>
    <row r="2982" spans="2:3" ht="15" customHeight="1">
      <c r="B2982" s="548"/>
      <c r="C2982" s="549"/>
    </row>
    <row r="2983" spans="2:3" ht="15" customHeight="1">
      <c r="B2983" s="548"/>
      <c r="C2983" s="549"/>
    </row>
    <row r="2984" spans="2:3" ht="15" customHeight="1">
      <c r="B2984" s="548"/>
      <c r="C2984" s="549"/>
    </row>
    <row r="2985" spans="2:3" ht="15" customHeight="1">
      <c r="B2985" s="548"/>
      <c r="C2985" s="549"/>
    </row>
    <row r="2986" spans="2:3" ht="15" customHeight="1">
      <c r="B2986" s="548"/>
      <c r="C2986" s="549"/>
    </row>
    <row r="2987" spans="2:3" ht="15" customHeight="1">
      <c r="B2987" s="548"/>
      <c r="C2987" s="549"/>
    </row>
    <row r="2988" spans="2:3" ht="15" customHeight="1">
      <c r="B2988" s="548"/>
      <c r="C2988" s="549"/>
    </row>
    <row r="2989" spans="2:3" ht="15" customHeight="1">
      <c r="B2989" s="548"/>
      <c r="C2989" s="549"/>
    </row>
    <row r="2990" spans="2:3" ht="15" customHeight="1">
      <c r="B2990" s="548"/>
      <c r="C2990" s="549"/>
    </row>
    <row r="2991" spans="2:3" ht="15" customHeight="1">
      <c r="B2991" s="548"/>
      <c r="C2991" s="549"/>
    </row>
    <row r="2992" spans="2:3" ht="15" customHeight="1">
      <c r="B2992" s="548"/>
      <c r="C2992" s="549"/>
    </row>
    <row r="2993" spans="2:3" ht="15" customHeight="1">
      <c r="B2993" s="548"/>
      <c r="C2993" s="549"/>
    </row>
    <row r="2994" spans="2:3" ht="15" customHeight="1">
      <c r="B2994" s="548"/>
      <c r="C2994" s="549"/>
    </row>
    <row r="2995" spans="2:3" ht="15" customHeight="1">
      <c r="B2995" s="548"/>
      <c r="C2995" s="549"/>
    </row>
    <row r="2996" spans="2:3" ht="15" customHeight="1">
      <c r="B2996" s="548"/>
      <c r="C2996" s="549"/>
    </row>
    <row r="2997" spans="2:3" ht="15" customHeight="1">
      <c r="B2997" s="548"/>
      <c r="C2997" s="549"/>
    </row>
    <row r="2998" spans="2:3" ht="15" customHeight="1">
      <c r="B2998" s="548"/>
      <c r="C2998" s="549"/>
    </row>
    <row r="2999" spans="2:3" ht="15" customHeight="1">
      <c r="B2999" s="548"/>
      <c r="C2999" s="549"/>
    </row>
    <row r="3000" spans="2:3" ht="15" customHeight="1">
      <c r="B3000" s="548"/>
      <c r="C3000" s="549"/>
    </row>
    <row r="3001" spans="2:3" ht="15" customHeight="1">
      <c r="B3001" s="548"/>
      <c r="C3001" s="549"/>
    </row>
    <row r="3002" spans="2:3" ht="15" customHeight="1">
      <c r="B3002" s="548"/>
      <c r="C3002" s="549"/>
    </row>
    <row r="3003" spans="2:3" ht="15" customHeight="1">
      <c r="B3003" s="548"/>
      <c r="C3003" s="549"/>
    </row>
    <row r="3004" spans="2:3" ht="15" customHeight="1">
      <c r="B3004" s="548"/>
      <c r="C3004" s="549"/>
    </row>
    <row r="3005" spans="2:3" ht="15" customHeight="1">
      <c r="B3005" s="548"/>
      <c r="C3005" s="549"/>
    </row>
    <row r="3006" spans="2:3" ht="15" customHeight="1">
      <c r="B3006" s="548"/>
      <c r="C3006" s="549"/>
    </row>
    <row r="3007" spans="2:3" ht="15" customHeight="1">
      <c r="B3007" s="548"/>
      <c r="C3007" s="549"/>
    </row>
    <row r="3008" spans="2:3" ht="15" customHeight="1">
      <c r="B3008" s="548"/>
      <c r="C3008" s="549"/>
    </row>
    <row r="3009" spans="2:3" ht="15" customHeight="1">
      <c r="B3009" s="548"/>
      <c r="C3009" s="549"/>
    </row>
    <row r="3010" spans="2:3" ht="15" customHeight="1">
      <c r="B3010" s="548"/>
      <c r="C3010" s="549"/>
    </row>
    <row r="3011" spans="2:3" ht="15" customHeight="1">
      <c r="B3011" s="548"/>
      <c r="C3011" s="549"/>
    </row>
    <row r="3012" spans="2:3" ht="15" customHeight="1">
      <c r="B3012" s="548"/>
      <c r="C3012" s="549"/>
    </row>
    <row r="3013" spans="2:3" ht="15" customHeight="1">
      <c r="B3013" s="548"/>
      <c r="C3013" s="549"/>
    </row>
    <row r="3014" spans="2:3" ht="15" customHeight="1">
      <c r="B3014" s="548"/>
      <c r="C3014" s="549"/>
    </row>
    <row r="3015" spans="2:3" ht="15" customHeight="1">
      <c r="B3015" s="548"/>
      <c r="C3015" s="549"/>
    </row>
    <row r="3016" spans="2:3" ht="15" customHeight="1">
      <c r="B3016" s="548"/>
      <c r="C3016" s="549"/>
    </row>
    <row r="3017" spans="2:3" ht="15" customHeight="1">
      <c r="B3017" s="548"/>
      <c r="C3017" s="549"/>
    </row>
    <row r="3018" spans="2:3" ht="15" customHeight="1">
      <c r="B3018" s="548"/>
      <c r="C3018" s="549"/>
    </row>
    <row r="3019" spans="2:3" ht="15" customHeight="1">
      <c r="B3019" s="548"/>
      <c r="C3019" s="549"/>
    </row>
    <row r="3020" spans="2:3" ht="15" customHeight="1">
      <c r="B3020" s="548"/>
      <c r="C3020" s="549"/>
    </row>
    <row r="3021" spans="2:3" ht="15" customHeight="1">
      <c r="B3021" s="548"/>
      <c r="C3021" s="549"/>
    </row>
    <row r="3022" spans="2:3" ht="15" customHeight="1">
      <c r="B3022" s="548"/>
      <c r="C3022" s="549"/>
    </row>
    <row r="3023" spans="2:3" ht="15" customHeight="1">
      <c r="B3023" s="548"/>
      <c r="C3023" s="549"/>
    </row>
    <row r="3024" spans="2:3" ht="15" customHeight="1">
      <c r="B3024" s="548"/>
      <c r="C3024" s="549"/>
    </row>
    <row r="3025" spans="2:3" ht="15" customHeight="1">
      <c r="B3025" s="548"/>
      <c r="C3025" s="549"/>
    </row>
    <row r="3026" spans="2:3" ht="15" customHeight="1">
      <c r="B3026" s="548"/>
      <c r="C3026" s="549"/>
    </row>
    <row r="3027" spans="2:3" ht="15" customHeight="1">
      <c r="B3027" s="548"/>
      <c r="C3027" s="549"/>
    </row>
    <row r="3028" spans="2:3" ht="15" customHeight="1">
      <c r="B3028" s="548"/>
      <c r="C3028" s="549"/>
    </row>
    <row r="3029" spans="2:3" ht="15" customHeight="1">
      <c r="B3029" s="548"/>
      <c r="C3029" s="549"/>
    </row>
    <row r="3030" spans="2:3" ht="15" customHeight="1">
      <c r="B3030" s="548"/>
      <c r="C3030" s="549"/>
    </row>
    <row r="3031" spans="2:3" ht="15" customHeight="1">
      <c r="B3031" s="548"/>
      <c r="C3031" s="549"/>
    </row>
    <row r="3032" spans="2:3" ht="15" customHeight="1">
      <c r="B3032" s="548"/>
      <c r="C3032" s="549"/>
    </row>
    <row r="3033" spans="2:3" ht="15" customHeight="1">
      <c r="B3033" s="548"/>
      <c r="C3033" s="549"/>
    </row>
    <row r="3034" spans="2:3" ht="15" customHeight="1">
      <c r="B3034" s="548"/>
      <c r="C3034" s="549"/>
    </row>
    <row r="3035" spans="2:3" ht="15" customHeight="1">
      <c r="B3035" s="548"/>
      <c r="C3035" s="549"/>
    </row>
    <row r="3036" spans="2:3" ht="15" customHeight="1">
      <c r="B3036" s="548"/>
      <c r="C3036" s="549"/>
    </row>
    <row r="3037" spans="2:3" ht="15" customHeight="1">
      <c r="B3037" s="548"/>
      <c r="C3037" s="549"/>
    </row>
    <row r="3038" spans="2:3" ht="15" customHeight="1">
      <c r="B3038" s="548"/>
      <c r="C3038" s="549"/>
    </row>
    <row r="3039" spans="2:3" ht="15" customHeight="1">
      <c r="B3039" s="548"/>
      <c r="C3039" s="549"/>
    </row>
    <row r="3040" spans="2:3" ht="15" customHeight="1">
      <c r="B3040" s="548"/>
      <c r="C3040" s="549"/>
    </row>
    <row r="3041" spans="2:3" ht="15" customHeight="1">
      <c r="B3041" s="548"/>
      <c r="C3041" s="549"/>
    </row>
    <row r="3042" spans="2:3" ht="15" customHeight="1">
      <c r="B3042" s="548"/>
      <c r="C3042" s="549"/>
    </row>
    <row r="3043" spans="2:3" ht="15" customHeight="1">
      <c r="B3043" s="548"/>
      <c r="C3043" s="549"/>
    </row>
    <row r="3044" spans="2:3" ht="15" customHeight="1">
      <c r="B3044" s="548"/>
      <c r="C3044" s="549"/>
    </row>
    <row r="3045" spans="2:3" ht="15" customHeight="1">
      <c r="B3045" s="548"/>
      <c r="C3045" s="549"/>
    </row>
    <row r="3046" spans="2:3" ht="15" customHeight="1">
      <c r="B3046" s="548"/>
      <c r="C3046" s="549"/>
    </row>
    <row r="3047" spans="2:3" ht="15" customHeight="1">
      <c r="B3047" s="548"/>
      <c r="C3047" s="549"/>
    </row>
    <row r="3048" spans="2:3" ht="15" customHeight="1">
      <c r="B3048" s="548"/>
      <c r="C3048" s="549"/>
    </row>
    <row r="3049" spans="2:3" ht="15" customHeight="1">
      <c r="B3049" s="548"/>
      <c r="C3049" s="549"/>
    </row>
    <row r="3050" spans="2:3" ht="15" customHeight="1">
      <c r="B3050" s="548"/>
      <c r="C3050" s="549"/>
    </row>
    <row r="3051" spans="2:3" ht="15" customHeight="1">
      <c r="B3051" s="548"/>
      <c r="C3051" s="549"/>
    </row>
    <row r="3052" spans="2:3" ht="15" customHeight="1">
      <c r="B3052" s="548"/>
      <c r="C3052" s="549"/>
    </row>
    <row r="3053" spans="2:3" ht="15" customHeight="1">
      <c r="B3053" s="548"/>
      <c r="C3053" s="549"/>
    </row>
    <row r="3054" spans="2:3" ht="15" customHeight="1">
      <c r="B3054" s="548"/>
      <c r="C3054" s="549"/>
    </row>
    <row r="3055" spans="2:3" ht="15" customHeight="1">
      <c r="B3055" s="548"/>
      <c r="C3055" s="549"/>
    </row>
    <row r="3056" spans="2:3" ht="15" customHeight="1">
      <c r="B3056" s="548"/>
      <c r="C3056" s="549"/>
    </row>
    <row r="3057" spans="2:3" ht="15" customHeight="1">
      <c r="B3057" s="548"/>
      <c r="C3057" s="549"/>
    </row>
    <row r="3058" spans="2:3" ht="15" customHeight="1">
      <c r="B3058" s="548"/>
      <c r="C3058" s="549"/>
    </row>
    <row r="3059" spans="2:3" ht="15" customHeight="1">
      <c r="B3059" s="548"/>
      <c r="C3059" s="549"/>
    </row>
    <row r="3060" spans="2:3" ht="15" customHeight="1">
      <c r="B3060" s="548"/>
      <c r="C3060" s="549"/>
    </row>
    <row r="3061" spans="2:3" ht="15" customHeight="1">
      <c r="B3061" s="548"/>
      <c r="C3061" s="549"/>
    </row>
    <row r="3062" spans="2:3" ht="15" customHeight="1">
      <c r="B3062" s="548"/>
      <c r="C3062" s="549"/>
    </row>
    <row r="3063" spans="2:3" ht="15" customHeight="1">
      <c r="B3063" s="548"/>
      <c r="C3063" s="549"/>
    </row>
    <row r="3064" spans="2:3" ht="15" customHeight="1">
      <c r="B3064" s="548"/>
      <c r="C3064" s="549"/>
    </row>
    <row r="3065" spans="2:3" ht="15" customHeight="1">
      <c r="B3065" s="548"/>
      <c r="C3065" s="549"/>
    </row>
    <row r="3066" spans="2:3" ht="15" customHeight="1">
      <c r="B3066" s="548"/>
      <c r="C3066" s="549"/>
    </row>
    <row r="3067" spans="2:3" ht="15" customHeight="1">
      <c r="B3067" s="548"/>
      <c r="C3067" s="549"/>
    </row>
    <row r="3068" spans="2:3" ht="15" customHeight="1">
      <c r="B3068" s="548"/>
      <c r="C3068" s="549"/>
    </row>
    <row r="3069" spans="2:3" ht="15" customHeight="1">
      <c r="B3069" s="548"/>
      <c r="C3069" s="549"/>
    </row>
    <row r="3070" spans="2:3" ht="15" customHeight="1">
      <c r="B3070" s="548"/>
      <c r="C3070" s="549"/>
    </row>
    <row r="3071" spans="2:3" ht="15" customHeight="1">
      <c r="B3071" s="548"/>
      <c r="C3071" s="549"/>
    </row>
    <row r="3072" spans="2:3" ht="15" customHeight="1">
      <c r="B3072" s="548"/>
      <c r="C3072" s="549"/>
    </row>
    <row r="3073" spans="2:3" ht="15" customHeight="1">
      <c r="B3073" s="548"/>
      <c r="C3073" s="549"/>
    </row>
    <row r="3074" spans="2:3" ht="15" customHeight="1">
      <c r="B3074" s="548"/>
      <c r="C3074" s="549"/>
    </row>
    <row r="3075" spans="2:3" ht="15" customHeight="1">
      <c r="B3075" s="548"/>
      <c r="C3075" s="549"/>
    </row>
    <row r="3076" spans="2:3" ht="15" customHeight="1">
      <c r="B3076" s="548"/>
      <c r="C3076" s="549"/>
    </row>
    <row r="3077" spans="2:3" ht="15" customHeight="1">
      <c r="B3077" s="548"/>
      <c r="C3077" s="549"/>
    </row>
    <row r="3078" spans="2:3" ht="15" customHeight="1">
      <c r="B3078" s="548"/>
      <c r="C3078" s="549"/>
    </row>
    <row r="3079" spans="2:3" ht="15" customHeight="1">
      <c r="B3079" s="548"/>
      <c r="C3079" s="549"/>
    </row>
    <row r="3080" spans="2:3" ht="15" customHeight="1">
      <c r="B3080" s="548"/>
      <c r="C3080" s="549"/>
    </row>
    <row r="3081" spans="2:3" ht="15" customHeight="1">
      <c r="B3081" s="548"/>
      <c r="C3081" s="549"/>
    </row>
    <row r="3082" spans="2:3" ht="15" customHeight="1">
      <c r="B3082" s="548"/>
      <c r="C3082" s="549"/>
    </row>
    <row r="3083" spans="2:3" ht="15" customHeight="1">
      <c r="B3083" s="548"/>
      <c r="C3083" s="549"/>
    </row>
    <row r="3084" spans="2:3" ht="15" customHeight="1">
      <c r="B3084" s="548"/>
      <c r="C3084" s="549"/>
    </row>
    <row r="3085" spans="2:3" ht="15" customHeight="1">
      <c r="B3085" s="548"/>
      <c r="C3085" s="549"/>
    </row>
    <row r="3086" spans="2:3" ht="15" customHeight="1">
      <c r="B3086" s="548"/>
      <c r="C3086" s="549"/>
    </row>
    <row r="3087" spans="2:3" ht="15" customHeight="1">
      <c r="B3087" s="548"/>
      <c r="C3087" s="549"/>
    </row>
    <row r="3088" spans="2:3" ht="15" customHeight="1">
      <c r="B3088" s="548"/>
      <c r="C3088" s="549"/>
    </row>
    <row r="3089" spans="2:3" ht="15" customHeight="1">
      <c r="B3089" s="548"/>
      <c r="C3089" s="549"/>
    </row>
    <row r="3090" spans="2:3" ht="15" customHeight="1">
      <c r="B3090" s="548"/>
      <c r="C3090" s="549"/>
    </row>
    <row r="3091" spans="2:3" ht="15" customHeight="1">
      <c r="B3091" s="548"/>
      <c r="C3091" s="549"/>
    </row>
    <row r="3092" spans="2:3" ht="15" customHeight="1">
      <c r="B3092" s="548"/>
      <c r="C3092" s="549"/>
    </row>
    <row r="3093" spans="2:3" ht="15" customHeight="1">
      <c r="B3093" s="548"/>
      <c r="C3093" s="549"/>
    </row>
    <row r="3094" spans="2:3" ht="15" customHeight="1">
      <c r="B3094" s="548"/>
      <c r="C3094" s="549"/>
    </row>
    <row r="3095" spans="2:3" ht="15" customHeight="1">
      <c r="B3095" s="548"/>
      <c r="C3095" s="549"/>
    </row>
    <row r="3096" spans="2:3" ht="15" customHeight="1">
      <c r="B3096" s="548"/>
      <c r="C3096" s="549"/>
    </row>
    <row r="3097" spans="2:3" ht="15" customHeight="1">
      <c r="B3097" s="548"/>
      <c r="C3097" s="549"/>
    </row>
    <row r="3098" spans="2:3" ht="15" customHeight="1">
      <c r="B3098" s="548"/>
      <c r="C3098" s="549"/>
    </row>
    <row r="3099" spans="2:3" ht="15" customHeight="1">
      <c r="B3099" s="548"/>
      <c r="C3099" s="549"/>
    </row>
    <row r="3100" spans="2:3" ht="15" customHeight="1">
      <c r="B3100" s="548"/>
      <c r="C3100" s="549"/>
    </row>
    <row r="3101" spans="2:3" ht="15" customHeight="1">
      <c r="B3101" s="548"/>
      <c r="C3101" s="549"/>
    </row>
    <row r="3102" spans="2:3" ht="15" customHeight="1">
      <c r="B3102" s="548"/>
      <c r="C3102" s="549"/>
    </row>
    <row r="3103" spans="2:3" ht="15" customHeight="1">
      <c r="B3103" s="548"/>
      <c r="C3103" s="549"/>
    </row>
    <row r="3104" spans="2:3" ht="15" customHeight="1">
      <c r="B3104" s="548"/>
      <c r="C3104" s="549"/>
    </row>
    <row r="3105" spans="2:3" ht="15" customHeight="1">
      <c r="B3105" s="548"/>
      <c r="C3105" s="549"/>
    </row>
    <row r="3106" spans="2:3" ht="15" customHeight="1">
      <c r="B3106" s="548"/>
      <c r="C3106" s="549"/>
    </row>
    <row r="3107" spans="2:3" ht="15" customHeight="1">
      <c r="B3107" s="548"/>
      <c r="C3107" s="549"/>
    </row>
    <row r="3108" spans="2:3" ht="15" customHeight="1">
      <c r="B3108" s="548"/>
      <c r="C3108" s="549"/>
    </row>
    <row r="3109" spans="2:3" ht="15" customHeight="1">
      <c r="B3109" s="548"/>
      <c r="C3109" s="549"/>
    </row>
    <row r="3110" spans="2:3" ht="15" customHeight="1">
      <c r="B3110" s="548"/>
      <c r="C3110" s="549"/>
    </row>
    <row r="3111" spans="2:3" ht="15" customHeight="1">
      <c r="B3111" s="548"/>
      <c r="C3111" s="549"/>
    </row>
    <row r="3112" spans="2:3" ht="15" customHeight="1">
      <c r="B3112" s="548"/>
      <c r="C3112" s="549"/>
    </row>
    <row r="3113" spans="2:3" ht="15" customHeight="1">
      <c r="B3113" s="548"/>
      <c r="C3113" s="549"/>
    </row>
    <row r="3114" spans="2:3" ht="15" customHeight="1">
      <c r="B3114" s="548"/>
      <c r="C3114" s="549"/>
    </row>
    <row r="3115" spans="2:3" ht="15" customHeight="1">
      <c r="B3115" s="548"/>
      <c r="C3115" s="549"/>
    </row>
    <row r="3116" spans="2:3" ht="15" customHeight="1">
      <c r="B3116" s="548"/>
      <c r="C3116" s="549"/>
    </row>
    <row r="3117" spans="2:3" ht="15" customHeight="1">
      <c r="B3117" s="548"/>
      <c r="C3117" s="549"/>
    </row>
    <row r="3118" spans="2:3" ht="15" customHeight="1">
      <c r="B3118" s="548"/>
      <c r="C3118" s="549"/>
    </row>
    <row r="3119" spans="2:3" ht="15" customHeight="1">
      <c r="B3119" s="548"/>
      <c r="C3119" s="549"/>
    </row>
    <row r="3120" spans="2:3" ht="15" customHeight="1">
      <c r="B3120" s="548"/>
      <c r="C3120" s="549"/>
    </row>
    <row r="3121" spans="2:3" ht="15" customHeight="1">
      <c r="B3121" s="548"/>
      <c r="C3121" s="549"/>
    </row>
    <row r="3122" spans="2:3" ht="15" customHeight="1">
      <c r="B3122" s="548"/>
      <c r="C3122" s="549"/>
    </row>
    <row r="3123" spans="2:3" ht="15" customHeight="1">
      <c r="B3123" s="548"/>
      <c r="C3123" s="549"/>
    </row>
    <row r="3124" spans="2:3" ht="15" customHeight="1">
      <c r="B3124" s="548"/>
      <c r="C3124" s="549"/>
    </row>
    <row r="3125" spans="2:3" ht="15" customHeight="1">
      <c r="B3125" s="548"/>
      <c r="C3125" s="549"/>
    </row>
    <row r="3126" spans="2:3" ht="15" customHeight="1">
      <c r="B3126" s="548"/>
      <c r="C3126" s="549"/>
    </row>
    <row r="3127" spans="2:3" ht="15" customHeight="1">
      <c r="B3127" s="548"/>
      <c r="C3127" s="549"/>
    </row>
    <row r="3128" spans="2:3" ht="15" customHeight="1">
      <c r="B3128" s="548"/>
      <c r="C3128" s="549"/>
    </row>
    <row r="3129" spans="2:3" ht="15" customHeight="1">
      <c r="B3129" s="548"/>
      <c r="C3129" s="549"/>
    </row>
    <row r="3130" spans="2:3" ht="15" customHeight="1">
      <c r="B3130" s="548"/>
      <c r="C3130" s="549"/>
    </row>
    <row r="3131" spans="2:3" ht="15" customHeight="1">
      <c r="B3131" s="548"/>
      <c r="C3131" s="549"/>
    </row>
    <row r="3132" spans="2:3" ht="15" customHeight="1">
      <c r="B3132" s="548"/>
      <c r="C3132" s="549"/>
    </row>
    <row r="3133" spans="2:3" ht="15" customHeight="1">
      <c r="B3133" s="548"/>
      <c r="C3133" s="549"/>
    </row>
    <row r="3134" spans="2:3" ht="15" customHeight="1">
      <c r="B3134" s="548"/>
      <c r="C3134" s="549"/>
    </row>
    <row r="3135" spans="2:3" ht="15" customHeight="1">
      <c r="B3135" s="548"/>
      <c r="C3135" s="549"/>
    </row>
    <row r="3136" spans="2:3" ht="15" customHeight="1">
      <c r="B3136" s="548"/>
      <c r="C3136" s="549"/>
    </row>
    <row r="3137" spans="2:3" ht="15" customHeight="1">
      <c r="B3137" s="548"/>
      <c r="C3137" s="549"/>
    </row>
    <row r="3138" spans="2:3" ht="15" customHeight="1">
      <c r="B3138" s="548"/>
      <c r="C3138" s="549"/>
    </row>
    <row r="3139" spans="2:3" ht="15" customHeight="1">
      <c r="B3139" s="548"/>
      <c r="C3139" s="549"/>
    </row>
    <row r="3140" spans="2:3" ht="15" customHeight="1">
      <c r="B3140" s="548"/>
      <c r="C3140" s="549"/>
    </row>
    <row r="3141" spans="2:3" ht="15" customHeight="1">
      <c r="B3141" s="548"/>
      <c r="C3141" s="549"/>
    </row>
    <row r="3142" spans="2:3" ht="15" customHeight="1">
      <c r="B3142" s="548"/>
      <c r="C3142" s="549"/>
    </row>
    <row r="3143" spans="2:3" ht="15" customHeight="1">
      <c r="B3143" s="548"/>
      <c r="C3143" s="549"/>
    </row>
    <row r="3144" spans="2:3" ht="15" customHeight="1">
      <c r="B3144" s="548"/>
      <c r="C3144" s="549"/>
    </row>
    <row r="3145" spans="2:3" ht="15" customHeight="1">
      <c r="B3145" s="548"/>
      <c r="C3145" s="549"/>
    </row>
    <row r="3146" spans="2:3" ht="15" customHeight="1">
      <c r="B3146" s="548"/>
      <c r="C3146" s="549"/>
    </row>
    <row r="3147" spans="2:3" ht="15" customHeight="1">
      <c r="B3147" s="548"/>
      <c r="C3147" s="549"/>
    </row>
    <row r="3148" spans="2:3" ht="15" customHeight="1">
      <c r="B3148" s="548"/>
      <c r="C3148" s="549"/>
    </row>
    <row r="3149" spans="2:3" ht="15" customHeight="1">
      <c r="B3149" s="548"/>
      <c r="C3149" s="549"/>
    </row>
    <row r="3150" spans="2:3" ht="15" customHeight="1">
      <c r="B3150" s="548"/>
      <c r="C3150" s="549"/>
    </row>
    <row r="3151" spans="2:3" ht="15" customHeight="1">
      <c r="B3151" s="548"/>
      <c r="C3151" s="549"/>
    </row>
    <row r="3152" spans="2:3" ht="15" customHeight="1">
      <c r="B3152" s="548"/>
      <c r="C3152" s="549"/>
    </row>
    <row r="3153" spans="2:3" ht="15" customHeight="1">
      <c r="B3153" s="548"/>
      <c r="C3153" s="549"/>
    </row>
    <row r="3154" spans="2:3" ht="15" customHeight="1">
      <c r="B3154" s="548"/>
      <c r="C3154" s="549"/>
    </row>
    <row r="3155" spans="2:3" ht="15" customHeight="1">
      <c r="B3155" s="548"/>
      <c r="C3155" s="549"/>
    </row>
    <row r="3156" spans="2:3" ht="15" customHeight="1">
      <c r="B3156" s="548"/>
      <c r="C3156" s="549"/>
    </row>
    <row r="3157" spans="2:3" ht="15" customHeight="1">
      <c r="B3157" s="548"/>
      <c r="C3157" s="549"/>
    </row>
    <row r="3158" spans="2:3" ht="15" customHeight="1">
      <c r="B3158" s="548"/>
      <c r="C3158" s="549"/>
    </row>
    <row r="3159" spans="2:3" ht="15" customHeight="1">
      <c r="B3159" s="548"/>
      <c r="C3159" s="549"/>
    </row>
    <row r="3160" spans="2:3" ht="15" customHeight="1">
      <c r="B3160" s="548"/>
      <c r="C3160" s="549"/>
    </row>
    <row r="3161" spans="2:3" ht="15" customHeight="1">
      <c r="B3161" s="548"/>
      <c r="C3161" s="549"/>
    </row>
    <row r="3162" spans="2:3" ht="15" customHeight="1">
      <c r="B3162" s="548"/>
      <c r="C3162" s="549"/>
    </row>
    <row r="3163" spans="2:3" ht="15" customHeight="1">
      <c r="B3163" s="548"/>
      <c r="C3163" s="549"/>
    </row>
    <row r="3164" spans="2:3" ht="15" customHeight="1">
      <c r="B3164" s="548"/>
      <c r="C3164" s="549"/>
    </row>
    <row r="3165" spans="2:3" ht="15" customHeight="1">
      <c r="B3165" s="548"/>
      <c r="C3165" s="549"/>
    </row>
    <row r="3166" spans="2:3" ht="15" customHeight="1">
      <c r="B3166" s="548"/>
      <c r="C3166" s="549"/>
    </row>
    <row r="3167" spans="2:3" ht="15" customHeight="1">
      <c r="B3167" s="548"/>
      <c r="C3167" s="549"/>
    </row>
    <row r="3168" spans="2:3" ht="15" customHeight="1">
      <c r="B3168" s="548"/>
      <c r="C3168" s="549"/>
    </row>
    <row r="3169" spans="2:3" ht="15" customHeight="1">
      <c r="B3169" s="548"/>
      <c r="C3169" s="549"/>
    </row>
    <row r="3170" spans="2:3" ht="15" customHeight="1">
      <c r="B3170" s="548"/>
      <c r="C3170" s="549"/>
    </row>
    <row r="3171" spans="2:3" ht="15" customHeight="1">
      <c r="B3171" s="548"/>
      <c r="C3171" s="549"/>
    </row>
    <row r="3172" spans="2:3" ht="15" customHeight="1">
      <c r="B3172" s="548"/>
      <c r="C3172" s="549"/>
    </row>
    <row r="3173" spans="2:3" ht="15" customHeight="1">
      <c r="B3173" s="548"/>
      <c r="C3173" s="549"/>
    </row>
    <row r="3174" spans="2:3" ht="15" customHeight="1">
      <c r="B3174" s="548"/>
      <c r="C3174" s="549"/>
    </row>
    <row r="3175" spans="2:3" ht="15" customHeight="1">
      <c r="B3175" s="548"/>
      <c r="C3175" s="549"/>
    </row>
    <row r="3176" spans="2:3" ht="15" customHeight="1">
      <c r="B3176" s="548"/>
      <c r="C3176" s="549"/>
    </row>
    <row r="3177" spans="2:3" ht="15" customHeight="1">
      <c r="B3177" s="548"/>
      <c r="C3177" s="549"/>
    </row>
    <row r="3178" spans="2:3" ht="15" customHeight="1">
      <c r="B3178" s="548"/>
      <c r="C3178" s="549"/>
    </row>
    <row r="3179" spans="2:3" ht="15" customHeight="1">
      <c r="B3179" s="548"/>
      <c r="C3179" s="549"/>
    </row>
    <row r="3180" spans="2:3" ht="15" customHeight="1">
      <c r="B3180" s="548"/>
      <c r="C3180" s="549"/>
    </row>
    <row r="3181" spans="2:3" ht="15" customHeight="1">
      <c r="B3181" s="548"/>
      <c r="C3181" s="549"/>
    </row>
    <row r="3182" spans="2:3" ht="15" customHeight="1">
      <c r="B3182" s="548"/>
      <c r="C3182" s="549"/>
    </row>
    <row r="3183" spans="2:3" ht="15" customHeight="1">
      <c r="B3183" s="548"/>
      <c r="C3183" s="549"/>
    </row>
    <row r="3184" spans="2:3" ht="15" customHeight="1">
      <c r="B3184" s="548"/>
      <c r="C3184" s="549"/>
    </row>
    <row r="3185" spans="2:3" ht="15" customHeight="1">
      <c r="B3185" s="548"/>
      <c r="C3185" s="549"/>
    </row>
    <row r="3186" spans="2:3" ht="15" customHeight="1">
      <c r="B3186" s="548"/>
      <c r="C3186" s="549"/>
    </row>
    <row r="3187" spans="2:3" ht="15" customHeight="1">
      <c r="B3187" s="548"/>
      <c r="C3187" s="549"/>
    </row>
    <row r="3188" spans="2:3" ht="15" customHeight="1">
      <c r="B3188" s="548"/>
      <c r="C3188" s="549"/>
    </row>
    <row r="3189" spans="2:3" ht="15" customHeight="1">
      <c r="B3189" s="548"/>
      <c r="C3189" s="549"/>
    </row>
    <row r="3190" spans="2:3" ht="15" customHeight="1">
      <c r="B3190" s="548"/>
      <c r="C3190" s="549"/>
    </row>
  </sheetData>
  <mergeCells count="26">
    <mergeCell ref="B24:C25"/>
    <mergeCell ref="B1:C1"/>
    <mergeCell ref="B4:C4"/>
    <mergeCell ref="B5:C5"/>
    <mergeCell ref="B23:C23"/>
    <mergeCell ref="B3:C3"/>
    <mergeCell ref="B66:C66"/>
    <mergeCell ref="B74:C74"/>
    <mergeCell ref="B117:C117"/>
    <mergeCell ref="B27:C27"/>
    <mergeCell ref="B31:C31"/>
    <mergeCell ref="B48:C48"/>
    <mergeCell ref="B55:C55"/>
    <mergeCell ref="B107:C107"/>
    <mergeCell ref="B114:C114"/>
    <mergeCell ref="B115:C115"/>
    <mergeCell ref="B59:C59"/>
    <mergeCell ref="B83:C83"/>
    <mergeCell ref="B89:C89"/>
    <mergeCell ref="B94:C94"/>
    <mergeCell ref="B100:C100"/>
    <mergeCell ref="B118:C118"/>
    <mergeCell ref="B120:C120"/>
    <mergeCell ref="B121:C121"/>
    <mergeCell ref="B112:C112"/>
    <mergeCell ref="B111:C111"/>
  </mergeCells>
  <phoneticPr fontId="25" type="noConversion"/>
  <printOptions horizontalCentered="1"/>
  <pageMargins left="0.25" right="0.25" top="0.25" bottom="0.25" header="0" footer="0"/>
  <pageSetup scale="85" fitToHeight="2" orientation="portrait" r:id="rId1"/>
  <headerFooter alignWithMargins="0"/>
  <customProperties>
    <customPr name="SSCSheetTrackingNo"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Q912"/>
  <sheetViews>
    <sheetView topLeftCell="A223" zoomScale="75" workbookViewId="0">
      <selection activeCell="J249" sqref="J249"/>
    </sheetView>
  </sheetViews>
  <sheetFormatPr defaultRowHeight="15"/>
  <cols>
    <col min="1" max="1" width="50.77734375" bestFit="1" customWidth="1"/>
    <col min="11" max="11" width="2.109375" customWidth="1"/>
    <col min="12" max="12" width="25.109375" style="190" bestFit="1" customWidth="1"/>
    <col min="13" max="13" width="9.21875" bestFit="1" customWidth="1"/>
    <col min="14" max="47" width="9.21875" customWidth="1"/>
    <col min="48" max="48" width="9.21875" bestFit="1" customWidth="1"/>
    <col min="49" max="49" width="8.5546875" bestFit="1" customWidth="1"/>
    <col min="51" max="51" width="12.109375" bestFit="1" customWidth="1"/>
    <col min="52" max="52" width="12.109375" customWidth="1"/>
    <col min="53" max="53" width="16.109375" bestFit="1" customWidth="1"/>
  </cols>
  <sheetData>
    <row r="1" spans="1:69">
      <c r="A1" t="s">
        <v>1389</v>
      </c>
      <c r="B1" t="s">
        <v>2412</v>
      </c>
      <c r="C1" t="s">
        <v>2413</v>
      </c>
      <c r="D1" t="s">
        <v>1390</v>
      </c>
      <c r="E1" t="s">
        <v>1205</v>
      </c>
      <c r="F1" t="s">
        <v>1391</v>
      </c>
      <c r="G1">
        <v>55</v>
      </c>
      <c r="H1">
        <v>50</v>
      </c>
      <c r="I1">
        <v>45</v>
      </c>
      <c r="J1" t="s">
        <v>1392</v>
      </c>
      <c r="L1" t="s">
        <v>1393</v>
      </c>
      <c r="M1" s="691" t="str">
        <f>'J1 Form'!H3</f>
        <v>New Hampshire</v>
      </c>
      <c r="N1" s="692" t="str">
        <f>L1</f>
        <v>Alabama</v>
      </c>
      <c r="O1" s="692" t="str">
        <f>L2</f>
        <v>Alaska</v>
      </c>
      <c r="P1" s="692" t="str">
        <f>L3</f>
        <v>Arizona</v>
      </c>
      <c r="Q1" s="692" t="str">
        <f>L4</f>
        <v>Arkansas</v>
      </c>
      <c r="R1" s="692" t="str">
        <f>L5</f>
        <v>California</v>
      </c>
      <c r="S1" s="692" t="str">
        <f>L6</f>
        <v>Colorado</v>
      </c>
      <c r="T1" s="692" t="str">
        <f>L7</f>
        <v>Connecticut</v>
      </c>
      <c r="U1" s="692" t="str">
        <f>L8</f>
        <v>Delaware</v>
      </c>
      <c r="V1" s="692" t="str">
        <f>L9</f>
        <v>DC</v>
      </c>
      <c r="W1" s="692" t="str">
        <f>L10</f>
        <v>Florida</v>
      </c>
      <c r="X1" s="692" t="str">
        <f>L11</f>
        <v>Georgia</v>
      </c>
      <c r="Y1" s="692" t="str">
        <f>L12</f>
        <v>Hawaii</v>
      </c>
      <c r="Z1" s="692" t="str">
        <f>L13</f>
        <v>Idaho</v>
      </c>
      <c r="AA1" s="692" t="str">
        <f>L14</f>
        <v>Illinois</v>
      </c>
      <c r="AB1" s="692" t="str">
        <f>L15</f>
        <v>Indiana</v>
      </c>
      <c r="AC1" s="692" t="str">
        <f>L16</f>
        <v>Iowa</v>
      </c>
      <c r="AD1" s="692" t="str">
        <f>L17</f>
        <v>Kansas</v>
      </c>
      <c r="AE1" s="692" t="str">
        <f>L18</f>
        <v>Kentucky</v>
      </c>
      <c r="AF1" s="692" t="str">
        <f>L19</f>
        <v>Louisiana</v>
      </c>
      <c r="AG1" s="692" t="str">
        <f>L20</f>
        <v>Maine</v>
      </c>
      <c r="AH1" s="692" t="str">
        <f>L21</f>
        <v>Maryland</v>
      </c>
      <c r="AI1" s="692" t="str">
        <f>L22</f>
        <v>Massachusetts</v>
      </c>
      <c r="AJ1" s="692" t="str">
        <f>L23</f>
        <v>Michigan</v>
      </c>
      <c r="AK1" s="692" t="str">
        <f>L24</f>
        <v>Minnesota</v>
      </c>
      <c r="AL1" s="692" t="str">
        <f>L25</f>
        <v>Mississippi</v>
      </c>
      <c r="AM1" s="692" t="str">
        <f>L26</f>
        <v>Missouri</v>
      </c>
      <c r="AN1" s="692" t="str">
        <f>L27</f>
        <v>Montana</v>
      </c>
      <c r="AO1" s="692" t="str">
        <f>L28</f>
        <v>Nebraska</v>
      </c>
      <c r="AP1" s="692" t="str">
        <f>L29</f>
        <v>Nevada</v>
      </c>
      <c r="AQ1" s="692" t="str">
        <f>L30</f>
        <v>New Hampshire</v>
      </c>
      <c r="AR1" s="692" t="str">
        <f>L31</f>
        <v>New Jersey</v>
      </c>
      <c r="AS1" s="692" t="str">
        <f>L32</f>
        <v>New Mexico</v>
      </c>
      <c r="AT1" s="692" t="str">
        <f>L33</f>
        <v>New York</v>
      </c>
      <c r="AU1" s="692" t="str">
        <f>L34</f>
        <v>North Carolina</v>
      </c>
      <c r="AV1" t="str">
        <f>L35</f>
        <v>North Dakota</v>
      </c>
      <c r="AW1" t="str">
        <f>L36</f>
        <v>Ohio</v>
      </c>
      <c r="AX1" t="str">
        <f>L37</f>
        <v>Oklahoma</v>
      </c>
      <c r="AY1" t="str">
        <f>L38</f>
        <v>Oregon</v>
      </c>
      <c r="AZ1" t="str">
        <f>L39</f>
        <v>Pennsylvania</v>
      </c>
      <c r="BA1" t="str">
        <f>L40</f>
        <v>Rhode Island</v>
      </c>
      <c r="BB1" t="str">
        <f>L41</f>
        <v>South Carolina</v>
      </c>
      <c r="BC1" t="str">
        <f>L42</f>
        <v>South Dakota</v>
      </c>
      <c r="BD1" t="str">
        <f>L43</f>
        <v>Tennessee</v>
      </c>
      <c r="BE1" t="str">
        <f>L44</f>
        <v>Texas</v>
      </c>
      <c r="BF1" t="str">
        <f>L45</f>
        <v>Utah</v>
      </c>
      <c r="BG1" t="str">
        <f>L46</f>
        <v>Vermont</v>
      </c>
      <c r="BH1" t="str">
        <f>L47</f>
        <v>Virginia</v>
      </c>
      <c r="BI1" t="str">
        <f>L48</f>
        <v>Washington</v>
      </c>
      <c r="BJ1" t="str">
        <f>L49</f>
        <v>West Virginia</v>
      </c>
      <c r="BK1" t="str">
        <f>L50</f>
        <v>Wisconsin</v>
      </c>
      <c r="BL1" t="str">
        <f>L51</f>
        <v>Wyoming</v>
      </c>
      <c r="BO1" s="697">
        <v>0.45</v>
      </c>
      <c r="BP1">
        <v>9</v>
      </c>
      <c r="BQ1">
        <f>VLOOKUP('J1 Form'!F6,Cities!BO1:BP3,2)</f>
        <v>8</v>
      </c>
    </row>
    <row r="2" spans="1:69">
      <c r="A2" s="693" t="str">
        <f>'J1 Form'!H3&amp;", "&amp;'J1 Form'!I3</f>
        <v xml:space="preserve">New Hampshire, Berlin </v>
      </c>
      <c r="B2" s="693">
        <f>VLOOKUP($A$2,$A$4:$J$912,2)</f>
        <v>1161</v>
      </c>
      <c r="C2" s="693">
        <f>VLOOKUP($A$2,$A$4:$J$912,3,TRUE)</f>
        <v>44</v>
      </c>
      <c r="D2" s="693">
        <f>VLOOKUP($A$2,$A$4:$J$912,4,TRUE)</f>
        <v>-9</v>
      </c>
      <c r="E2" s="693">
        <f>VLOOKUP($A$2,$A$4:$J$912,5,TRUE)</f>
        <v>84</v>
      </c>
      <c r="F2" s="693">
        <f>VLOOKUP($A$2,$A$4:$J$912,6,TRUE)</f>
        <v>69</v>
      </c>
      <c r="G2" s="693">
        <f>VLOOKUP($A$2,$A$4:$J$912,7,TRUE)</f>
        <v>12</v>
      </c>
      <c r="H2" s="693">
        <f>VLOOKUP($A$2,$A$4:$J$912,8,TRUE)</f>
        <v>19</v>
      </c>
      <c r="I2" s="693">
        <f>VLOOKUP($A$2,$A$4:$J$912,9,TRUE)</f>
        <v>25</v>
      </c>
      <c r="J2" s="693" t="str">
        <f>VLOOKUP($A$2,$A$4:$J$912,10,TRUE)</f>
        <v>Medium</v>
      </c>
      <c r="K2">
        <v>2</v>
      </c>
      <c r="L2" t="s">
        <v>1394</v>
      </c>
      <c r="M2" t="str">
        <f>HLOOKUP($M$1,$N$1:$BL$74,K2)</f>
        <v xml:space="preserve">Berlin </v>
      </c>
      <c r="N2" t="s">
        <v>1395</v>
      </c>
      <c r="O2" t="s">
        <v>1396</v>
      </c>
      <c r="P2" t="s">
        <v>1397</v>
      </c>
      <c r="Q2" t="s">
        <v>1398</v>
      </c>
      <c r="R2" t="s">
        <v>1399</v>
      </c>
      <c r="S2" t="s">
        <v>1400</v>
      </c>
      <c r="T2" t="s">
        <v>1401</v>
      </c>
      <c r="U2" t="s">
        <v>1402</v>
      </c>
      <c r="V2" t="s">
        <v>1403</v>
      </c>
      <c r="W2" t="s">
        <v>1404</v>
      </c>
      <c r="X2" t="s">
        <v>2776</v>
      </c>
      <c r="Y2" t="s">
        <v>1405</v>
      </c>
      <c r="Z2" t="s">
        <v>1406</v>
      </c>
      <c r="AA2" t="s">
        <v>1407</v>
      </c>
      <c r="AB2" t="s">
        <v>1408</v>
      </c>
      <c r="AC2" t="s">
        <v>1409</v>
      </c>
      <c r="AD2" t="s">
        <v>1410</v>
      </c>
      <c r="AE2" t="s">
        <v>1411</v>
      </c>
      <c r="AF2" t="s">
        <v>1412</v>
      </c>
      <c r="AG2" t="s">
        <v>1413</v>
      </c>
      <c r="AH2" t="s">
        <v>1414</v>
      </c>
      <c r="AI2" t="s">
        <v>1415</v>
      </c>
      <c r="AJ2" t="s">
        <v>1416</v>
      </c>
      <c r="AK2" t="s">
        <v>1417</v>
      </c>
      <c r="AL2" t="s">
        <v>1418</v>
      </c>
      <c r="AM2" t="s">
        <v>1419</v>
      </c>
      <c r="AN2" t="s">
        <v>1420</v>
      </c>
      <c r="AO2" t="s">
        <v>1421</v>
      </c>
      <c r="AP2" t="s">
        <v>1422</v>
      </c>
      <c r="AQ2" t="s">
        <v>1423</v>
      </c>
      <c r="AR2" t="s">
        <v>1424</v>
      </c>
      <c r="AS2" t="s">
        <v>1425</v>
      </c>
      <c r="AT2" t="s">
        <v>1426</v>
      </c>
      <c r="AU2" t="s">
        <v>1427</v>
      </c>
      <c r="AV2" t="s">
        <v>1428</v>
      </c>
      <c r="AW2" t="s">
        <v>1429</v>
      </c>
      <c r="AX2" t="s">
        <v>1430</v>
      </c>
      <c r="AY2" t="s">
        <v>1431</v>
      </c>
      <c r="AZ2" t="s">
        <v>1432</v>
      </c>
      <c r="BA2" t="s">
        <v>1433</v>
      </c>
      <c r="BB2" t="s">
        <v>1408</v>
      </c>
      <c r="BC2" t="s">
        <v>1434</v>
      </c>
      <c r="BD2" t="s">
        <v>1435</v>
      </c>
      <c r="BE2" t="s">
        <v>1436</v>
      </c>
      <c r="BF2" t="s">
        <v>1437</v>
      </c>
      <c r="BG2" t="s">
        <v>1438</v>
      </c>
      <c r="BH2" t="s">
        <v>1439</v>
      </c>
      <c r="BI2" t="s">
        <v>1440</v>
      </c>
      <c r="BJ2" t="s">
        <v>1441</v>
      </c>
      <c r="BK2" t="s">
        <v>1442</v>
      </c>
      <c r="BL2" t="s">
        <v>1443</v>
      </c>
      <c r="BO2" s="697">
        <v>0.5</v>
      </c>
      <c r="BP2">
        <v>8</v>
      </c>
    </row>
    <row r="3" spans="1:69">
      <c r="A3" s="694" t="s">
        <v>1444</v>
      </c>
      <c r="K3">
        <v>3</v>
      </c>
      <c r="L3" t="s">
        <v>1445</v>
      </c>
      <c r="M3" t="str">
        <f>HLOOKUP($M$1,$N$1:$BL$74,K3)</f>
        <v xml:space="preserve">Claremont </v>
      </c>
      <c r="N3" t="s">
        <v>1446</v>
      </c>
      <c r="O3" t="s">
        <v>1447</v>
      </c>
      <c r="P3" t="s">
        <v>1448</v>
      </c>
      <c r="Q3" t="s">
        <v>1449</v>
      </c>
      <c r="R3" t="s">
        <v>1450</v>
      </c>
      <c r="S3" t="s">
        <v>1451</v>
      </c>
      <c r="T3" t="s">
        <v>1452</v>
      </c>
      <c r="U3" t="s">
        <v>1453</v>
      </c>
      <c r="V3" t="s">
        <v>1454</v>
      </c>
      <c r="W3" t="s">
        <v>1455</v>
      </c>
      <c r="X3" t="s">
        <v>1456</v>
      </c>
      <c r="Y3" t="s">
        <v>1457</v>
      </c>
      <c r="Z3" t="s">
        <v>1458</v>
      </c>
      <c r="AA3" t="s">
        <v>1459</v>
      </c>
      <c r="AB3" t="s">
        <v>1460</v>
      </c>
      <c r="AC3" t="s">
        <v>1461</v>
      </c>
      <c r="AD3" t="s">
        <v>1462</v>
      </c>
      <c r="AE3" t="s">
        <v>1463</v>
      </c>
      <c r="AF3" t="s">
        <v>1464</v>
      </c>
      <c r="AG3" t="s">
        <v>1465</v>
      </c>
      <c r="AH3" t="s">
        <v>1466</v>
      </c>
      <c r="AI3" t="s">
        <v>1467</v>
      </c>
      <c r="AJ3" t="s">
        <v>1468</v>
      </c>
      <c r="AK3" t="s">
        <v>1412</v>
      </c>
      <c r="AL3" t="s">
        <v>1469</v>
      </c>
      <c r="AM3" t="s">
        <v>1470</v>
      </c>
      <c r="AN3" t="s">
        <v>1471</v>
      </c>
      <c r="AO3" t="s">
        <v>1472</v>
      </c>
      <c r="AP3" t="s">
        <v>1473</v>
      </c>
      <c r="AQ3" t="s">
        <v>1474</v>
      </c>
      <c r="AR3" t="s">
        <v>1475</v>
      </c>
      <c r="AS3" t="s">
        <v>1476</v>
      </c>
      <c r="AT3" t="s">
        <v>1477</v>
      </c>
      <c r="AU3" t="s">
        <v>1478</v>
      </c>
      <c r="AV3" t="s">
        <v>1479</v>
      </c>
      <c r="AW3" t="s">
        <v>1480</v>
      </c>
      <c r="AX3" t="s">
        <v>1481</v>
      </c>
      <c r="AY3" t="s">
        <v>1482</v>
      </c>
      <c r="AZ3" t="s">
        <v>1483</v>
      </c>
      <c r="BA3" t="s">
        <v>1484</v>
      </c>
      <c r="BB3" t="s">
        <v>1485</v>
      </c>
      <c r="BC3" t="s">
        <v>1486</v>
      </c>
      <c r="BD3" t="s">
        <v>1487</v>
      </c>
      <c r="BE3" t="s">
        <v>1488</v>
      </c>
      <c r="BF3" t="s">
        <v>1489</v>
      </c>
      <c r="BG3" t="s">
        <v>1461</v>
      </c>
      <c r="BH3" t="s">
        <v>1490</v>
      </c>
      <c r="BI3" t="s">
        <v>1491</v>
      </c>
      <c r="BJ3" t="s">
        <v>1492</v>
      </c>
      <c r="BK3" t="s">
        <v>1411</v>
      </c>
      <c r="BL3" t="s">
        <v>1493</v>
      </c>
      <c r="BO3" s="697">
        <v>0.55000000000000004</v>
      </c>
      <c r="BP3">
        <v>7</v>
      </c>
    </row>
    <row r="4" spans="1:69">
      <c r="A4" t="s">
        <v>1494</v>
      </c>
      <c r="B4">
        <v>686</v>
      </c>
      <c r="C4">
        <v>33</v>
      </c>
      <c r="D4">
        <v>22</v>
      </c>
      <c r="E4">
        <v>93</v>
      </c>
      <c r="F4">
        <v>76</v>
      </c>
      <c r="G4">
        <v>39</v>
      </c>
      <c r="H4">
        <v>46</v>
      </c>
      <c r="I4">
        <v>52</v>
      </c>
      <c r="J4" t="s">
        <v>1359</v>
      </c>
      <c r="K4">
        <v>4</v>
      </c>
      <c r="L4" t="s">
        <v>1496</v>
      </c>
      <c r="M4" t="str">
        <f>HLOOKUP($M$1,$N$1:$BL$74,K4)</f>
        <v>Concord AP</v>
      </c>
      <c r="N4" t="s">
        <v>1497</v>
      </c>
      <c r="O4" t="s">
        <v>1498</v>
      </c>
      <c r="P4" t="s">
        <v>1499</v>
      </c>
      <c r="Q4" t="s">
        <v>1500</v>
      </c>
      <c r="R4" t="s">
        <v>1501</v>
      </c>
      <c r="S4" t="s">
        <v>1502</v>
      </c>
      <c r="T4" t="s">
        <v>1503</v>
      </c>
      <c r="W4" t="s">
        <v>1504</v>
      </c>
      <c r="X4" t="s">
        <v>1435</v>
      </c>
      <c r="Y4" t="s">
        <v>1505</v>
      </c>
      <c r="Z4" t="s">
        <v>1506</v>
      </c>
      <c r="AA4" t="s">
        <v>1507</v>
      </c>
      <c r="AB4" t="s">
        <v>1507</v>
      </c>
      <c r="AC4" t="s">
        <v>1508</v>
      </c>
      <c r="AD4" t="s">
        <v>1509</v>
      </c>
      <c r="AE4" t="s">
        <v>1510</v>
      </c>
      <c r="AF4" t="s">
        <v>1511</v>
      </c>
      <c r="AG4" t="s">
        <v>1512</v>
      </c>
      <c r="AH4" t="s">
        <v>1513</v>
      </c>
      <c r="AI4" t="s">
        <v>1514</v>
      </c>
      <c r="AJ4" t="s">
        <v>1515</v>
      </c>
      <c r="AK4" t="s">
        <v>1516</v>
      </c>
      <c r="AL4" t="s">
        <v>1517</v>
      </c>
      <c r="AM4" t="s">
        <v>1518</v>
      </c>
      <c r="AN4" t="s">
        <v>1519</v>
      </c>
      <c r="AO4" t="s">
        <v>1520</v>
      </c>
      <c r="AP4" t="s">
        <v>1521</v>
      </c>
      <c r="AQ4" t="s">
        <v>1522</v>
      </c>
      <c r="AR4" t="s">
        <v>1523</v>
      </c>
      <c r="AS4" t="s">
        <v>1524</v>
      </c>
      <c r="AT4" t="s">
        <v>1497</v>
      </c>
      <c r="AU4" t="s">
        <v>1525</v>
      </c>
      <c r="AV4" t="s">
        <v>1526</v>
      </c>
      <c r="AW4" t="s">
        <v>1435</v>
      </c>
      <c r="AX4" t="s">
        <v>1527</v>
      </c>
      <c r="AY4" t="s">
        <v>1528</v>
      </c>
      <c r="AZ4" t="s">
        <v>1529</v>
      </c>
      <c r="BB4" t="s">
        <v>1530</v>
      </c>
      <c r="BC4" t="s">
        <v>1531</v>
      </c>
      <c r="BD4" t="s">
        <v>1532</v>
      </c>
      <c r="BE4" t="s">
        <v>1533</v>
      </c>
      <c r="BF4" t="s">
        <v>1534</v>
      </c>
      <c r="BG4" t="s">
        <v>1535</v>
      </c>
      <c r="BH4" t="s">
        <v>1536</v>
      </c>
      <c r="BI4" t="s">
        <v>1537</v>
      </c>
      <c r="BJ4" t="s">
        <v>1538</v>
      </c>
      <c r="BK4" t="s">
        <v>1539</v>
      </c>
      <c r="BL4" t="s">
        <v>1540</v>
      </c>
    </row>
    <row r="5" spans="1:69">
      <c r="A5" t="s">
        <v>1541</v>
      </c>
      <c r="B5">
        <v>612</v>
      </c>
      <c r="C5">
        <v>33</v>
      </c>
      <c r="D5">
        <v>24</v>
      </c>
      <c r="E5">
        <v>93</v>
      </c>
      <c r="F5">
        <v>76</v>
      </c>
      <c r="G5">
        <v>39</v>
      </c>
      <c r="H5">
        <v>46</v>
      </c>
      <c r="I5">
        <v>52</v>
      </c>
      <c r="J5" t="s">
        <v>1359</v>
      </c>
      <c r="K5">
        <v>5</v>
      </c>
      <c r="L5" t="s">
        <v>1542</v>
      </c>
      <c r="M5" t="str">
        <f t="shared" ref="M5:M68" si="0">HLOOKUP($M$1,$N$1:$BL$74,K5)</f>
        <v xml:space="preserve">Keene </v>
      </c>
      <c r="N5" t="s">
        <v>1543</v>
      </c>
      <c r="O5" t="s">
        <v>1544</v>
      </c>
      <c r="P5" t="s">
        <v>1545</v>
      </c>
      <c r="Q5" t="s">
        <v>1546</v>
      </c>
      <c r="R5" t="s">
        <v>1547</v>
      </c>
      <c r="S5" t="s">
        <v>1548</v>
      </c>
      <c r="T5" t="s">
        <v>1549</v>
      </c>
      <c r="W5" t="s">
        <v>1550</v>
      </c>
      <c r="X5" t="s">
        <v>1551</v>
      </c>
      <c r="Y5" t="s">
        <v>1552</v>
      </c>
      <c r="Z5" t="s">
        <v>1553</v>
      </c>
      <c r="AA5" t="s">
        <v>1554</v>
      </c>
      <c r="AB5" t="s">
        <v>1555</v>
      </c>
      <c r="AC5" t="s">
        <v>1467</v>
      </c>
      <c r="AD5" t="s">
        <v>1556</v>
      </c>
      <c r="AE5" t="s">
        <v>1557</v>
      </c>
      <c r="AF5" t="s">
        <v>1558</v>
      </c>
      <c r="AG5" t="s">
        <v>1559</v>
      </c>
      <c r="AH5" t="s">
        <v>1560</v>
      </c>
      <c r="AI5" t="s">
        <v>1561</v>
      </c>
      <c r="AJ5" t="s">
        <v>1562</v>
      </c>
      <c r="AK5" t="s">
        <v>1563</v>
      </c>
      <c r="AL5" t="s">
        <v>1564</v>
      </c>
      <c r="AM5" t="s">
        <v>1565</v>
      </c>
      <c r="AN5" t="s">
        <v>1566</v>
      </c>
      <c r="AO5" t="s">
        <v>1567</v>
      </c>
      <c r="AP5" t="s">
        <v>1568</v>
      </c>
      <c r="AQ5" t="s">
        <v>1569</v>
      </c>
      <c r="AR5" t="s">
        <v>1570</v>
      </c>
      <c r="AS5" t="s">
        <v>1571</v>
      </c>
      <c r="AT5" t="s">
        <v>1572</v>
      </c>
      <c r="AU5" t="s">
        <v>1573</v>
      </c>
      <c r="AV5" t="s">
        <v>1574</v>
      </c>
      <c r="AW5" t="s">
        <v>1575</v>
      </c>
      <c r="AX5" t="s">
        <v>1576</v>
      </c>
      <c r="AY5" t="s">
        <v>1577</v>
      </c>
      <c r="AZ5" t="s">
        <v>1578</v>
      </c>
      <c r="BB5" t="s">
        <v>1579</v>
      </c>
      <c r="BC5" t="s">
        <v>1580</v>
      </c>
      <c r="BD5" t="s">
        <v>1581</v>
      </c>
      <c r="BE5" t="s">
        <v>1582</v>
      </c>
      <c r="BF5" t="s">
        <v>1583</v>
      </c>
      <c r="BG5" t="s">
        <v>1584</v>
      </c>
      <c r="BH5" t="s">
        <v>1585</v>
      </c>
      <c r="BI5" t="s">
        <v>1586</v>
      </c>
      <c r="BJ5" t="s">
        <v>1587</v>
      </c>
      <c r="BK5" t="s">
        <v>1588</v>
      </c>
      <c r="BL5" t="s">
        <v>1589</v>
      </c>
      <c r="BO5" t="s">
        <v>1032</v>
      </c>
      <c r="BP5" t="s">
        <v>2100</v>
      </c>
    </row>
    <row r="6" spans="1:69">
      <c r="A6" t="s">
        <v>1590</v>
      </c>
      <c r="B6">
        <v>776</v>
      </c>
      <c r="C6">
        <v>32</v>
      </c>
      <c r="D6">
        <v>22</v>
      </c>
      <c r="E6">
        <v>93</v>
      </c>
      <c r="F6">
        <v>76</v>
      </c>
      <c r="G6">
        <v>39</v>
      </c>
      <c r="H6">
        <v>46</v>
      </c>
      <c r="I6">
        <v>52</v>
      </c>
      <c r="J6" t="s">
        <v>1359</v>
      </c>
      <c r="K6">
        <v>6</v>
      </c>
      <c r="L6" t="s">
        <v>1591</v>
      </c>
      <c r="M6" t="str">
        <f t="shared" si="0"/>
        <v xml:space="preserve">Laconia </v>
      </c>
      <c r="N6" t="s">
        <v>1592</v>
      </c>
      <c r="O6" t="s">
        <v>1593</v>
      </c>
      <c r="P6" t="s">
        <v>1594</v>
      </c>
      <c r="Q6" t="s">
        <v>1595</v>
      </c>
      <c r="R6" t="s">
        <v>1596</v>
      </c>
      <c r="S6" t="s">
        <v>1597</v>
      </c>
      <c r="T6" t="s">
        <v>1598</v>
      </c>
      <c r="W6" t="s">
        <v>1599</v>
      </c>
      <c r="X6" t="s">
        <v>1413</v>
      </c>
      <c r="Y6" t="s">
        <v>1600</v>
      </c>
      <c r="Z6" t="s">
        <v>1601</v>
      </c>
      <c r="AA6" t="s">
        <v>1602</v>
      </c>
      <c r="AB6" t="s">
        <v>1603</v>
      </c>
      <c r="AC6" t="s">
        <v>1604</v>
      </c>
      <c r="AD6" t="s">
        <v>1605</v>
      </c>
      <c r="AE6" t="s">
        <v>1606</v>
      </c>
      <c r="AF6" t="s">
        <v>1607</v>
      </c>
      <c r="AG6" t="s">
        <v>1608</v>
      </c>
      <c r="AH6" t="s">
        <v>1609</v>
      </c>
      <c r="AI6" t="s">
        <v>1610</v>
      </c>
      <c r="AJ6" t="s">
        <v>1611</v>
      </c>
      <c r="AK6" t="s">
        <v>1612</v>
      </c>
      <c r="AL6" t="s">
        <v>1613</v>
      </c>
      <c r="AM6" t="s">
        <v>1614</v>
      </c>
      <c r="AN6" t="s">
        <v>1615</v>
      </c>
      <c r="AO6" t="s">
        <v>1616</v>
      </c>
      <c r="AP6" t="s">
        <v>1617</v>
      </c>
      <c r="AQ6" t="s">
        <v>1618</v>
      </c>
      <c r="AR6" t="s">
        <v>1619</v>
      </c>
      <c r="AS6" t="s">
        <v>1620</v>
      </c>
      <c r="AT6" t="s">
        <v>1621</v>
      </c>
      <c r="AU6" t="s">
        <v>1622</v>
      </c>
      <c r="AV6" t="s">
        <v>1623</v>
      </c>
      <c r="AW6" t="s">
        <v>1624</v>
      </c>
      <c r="AX6" t="s">
        <v>1625</v>
      </c>
      <c r="AY6" t="s">
        <v>1626</v>
      </c>
      <c r="AZ6" t="s">
        <v>1627</v>
      </c>
      <c r="BB6" t="s">
        <v>1470</v>
      </c>
      <c r="BC6" t="s">
        <v>1628</v>
      </c>
      <c r="BD6" t="s">
        <v>1629</v>
      </c>
      <c r="BE6" t="s">
        <v>1630</v>
      </c>
      <c r="BF6" t="s">
        <v>1631</v>
      </c>
      <c r="BH6" t="s">
        <v>1632</v>
      </c>
      <c r="BI6" t="s">
        <v>1633</v>
      </c>
      <c r="BJ6" t="s">
        <v>1634</v>
      </c>
      <c r="BK6" t="s">
        <v>1635</v>
      </c>
      <c r="BL6" t="s">
        <v>1636</v>
      </c>
      <c r="BO6" t="s">
        <v>1359</v>
      </c>
      <c r="BP6" t="s">
        <v>1495</v>
      </c>
    </row>
    <row r="7" spans="1:69">
      <c r="A7" t="s">
        <v>1637</v>
      </c>
      <c r="B7">
        <v>644</v>
      </c>
      <c r="C7">
        <v>33</v>
      </c>
      <c r="D7">
        <v>23</v>
      </c>
      <c r="E7">
        <v>92</v>
      </c>
      <c r="F7">
        <v>75</v>
      </c>
      <c r="G7">
        <v>34</v>
      </c>
      <c r="H7">
        <v>41</v>
      </c>
      <c r="I7">
        <v>47</v>
      </c>
      <c r="J7" t="s">
        <v>1359</v>
      </c>
      <c r="K7">
        <v>7</v>
      </c>
      <c r="L7" t="s">
        <v>1638</v>
      </c>
      <c r="M7" t="str">
        <f t="shared" si="0"/>
        <v xml:space="preserve">Lebanon </v>
      </c>
      <c r="N7" t="s">
        <v>1639</v>
      </c>
      <c r="O7" t="s">
        <v>1640</v>
      </c>
      <c r="P7" t="s">
        <v>1641</v>
      </c>
      <c r="Q7" t="s">
        <v>1642</v>
      </c>
      <c r="R7" t="s">
        <v>1643</v>
      </c>
      <c r="S7" t="s">
        <v>1644</v>
      </c>
      <c r="T7" t="s">
        <v>1645</v>
      </c>
      <c r="W7" t="s">
        <v>1646</v>
      </c>
      <c r="X7" t="s">
        <v>1647</v>
      </c>
      <c r="Y7" t="s">
        <v>1648</v>
      </c>
      <c r="Z7" t="s">
        <v>1649</v>
      </c>
      <c r="AA7" t="s">
        <v>1650</v>
      </c>
      <c r="AB7" t="s">
        <v>1651</v>
      </c>
      <c r="AC7" t="s">
        <v>1652</v>
      </c>
      <c r="AD7" t="s">
        <v>1653</v>
      </c>
      <c r="AE7" t="s">
        <v>1654</v>
      </c>
      <c r="AF7" t="s">
        <v>1655</v>
      </c>
      <c r="AG7" t="s">
        <v>1656</v>
      </c>
      <c r="AH7" t="s">
        <v>1657</v>
      </c>
      <c r="AI7" t="s">
        <v>1658</v>
      </c>
      <c r="AJ7" t="s">
        <v>1659</v>
      </c>
      <c r="AK7" t="s">
        <v>1660</v>
      </c>
      <c r="AL7" t="s">
        <v>1661</v>
      </c>
      <c r="AM7" t="s">
        <v>1662</v>
      </c>
      <c r="AN7" t="s">
        <v>1663</v>
      </c>
      <c r="AO7" t="s">
        <v>1664</v>
      </c>
      <c r="AP7" t="s">
        <v>1665</v>
      </c>
      <c r="AQ7" t="s">
        <v>1666</v>
      </c>
      <c r="AR7" t="s">
        <v>1667</v>
      </c>
      <c r="AS7" t="s">
        <v>1668</v>
      </c>
      <c r="AT7" t="s">
        <v>1669</v>
      </c>
      <c r="AU7" t="s">
        <v>1670</v>
      </c>
      <c r="AV7" t="s">
        <v>1671</v>
      </c>
      <c r="AW7" t="s">
        <v>1672</v>
      </c>
      <c r="AX7" t="s">
        <v>1673</v>
      </c>
      <c r="AY7" t="s">
        <v>1674</v>
      </c>
      <c r="AZ7" t="s">
        <v>1675</v>
      </c>
      <c r="BB7" t="s">
        <v>1676</v>
      </c>
      <c r="BC7" t="s">
        <v>1677</v>
      </c>
      <c r="BD7" t="s">
        <v>1678</v>
      </c>
      <c r="BE7" t="s">
        <v>1679</v>
      </c>
      <c r="BF7" t="s">
        <v>1680</v>
      </c>
      <c r="BH7" t="s">
        <v>1681</v>
      </c>
      <c r="BI7" t="s">
        <v>1682</v>
      </c>
      <c r="BJ7" t="s">
        <v>1683</v>
      </c>
      <c r="BK7" t="s">
        <v>1684</v>
      </c>
      <c r="BL7" t="s">
        <v>1685</v>
      </c>
      <c r="BO7" t="s">
        <v>1033</v>
      </c>
      <c r="BP7" t="s">
        <v>1220</v>
      </c>
    </row>
    <row r="8" spans="1:69">
      <c r="A8" t="s">
        <v>1686</v>
      </c>
      <c r="B8">
        <v>592</v>
      </c>
      <c r="C8">
        <v>34</v>
      </c>
      <c r="D8">
        <v>16</v>
      </c>
      <c r="E8">
        <v>93</v>
      </c>
      <c r="F8">
        <v>74</v>
      </c>
      <c r="G8">
        <v>27</v>
      </c>
      <c r="H8">
        <v>34</v>
      </c>
      <c r="I8">
        <v>40</v>
      </c>
      <c r="J8" t="s">
        <v>1359</v>
      </c>
      <c r="K8">
        <v>8</v>
      </c>
      <c r="L8" t="s">
        <v>1687</v>
      </c>
      <c r="M8" t="str">
        <f t="shared" si="0"/>
        <v>Manchester, Grenier AFB</v>
      </c>
      <c r="N8" t="s">
        <v>1676</v>
      </c>
      <c r="O8" t="s">
        <v>1688</v>
      </c>
      <c r="P8" t="s">
        <v>1689</v>
      </c>
      <c r="Q8" t="s">
        <v>1690</v>
      </c>
      <c r="R8" t="s">
        <v>1691</v>
      </c>
      <c r="S8" t="s">
        <v>1692</v>
      </c>
      <c r="T8" t="s">
        <v>1693</v>
      </c>
      <c r="W8" t="s">
        <v>1694</v>
      </c>
      <c r="X8" t="s">
        <v>1695</v>
      </c>
      <c r="Y8" t="s">
        <v>1696</v>
      </c>
      <c r="Z8" t="s">
        <v>1697</v>
      </c>
      <c r="AA8" t="s">
        <v>1698</v>
      </c>
      <c r="AB8" t="s">
        <v>1699</v>
      </c>
      <c r="AC8" t="s">
        <v>1700</v>
      </c>
      <c r="AD8" t="s">
        <v>1701</v>
      </c>
      <c r="AE8" t="s">
        <v>1702</v>
      </c>
      <c r="AF8" t="s">
        <v>1703</v>
      </c>
      <c r="AG8" t="s">
        <v>1704</v>
      </c>
      <c r="AH8" t="s">
        <v>1705</v>
      </c>
      <c r="AI8" t="s">
        <v>1706</v>
      </c>
      <c r="AJ8" t="s">
        <v>1707</v>
      </c>
      <c r="AK8" t="s">
        <v>1708</v>
      </c>
      <c r="AL8" t="s">
        <v>1709</v>
      </c>
      <c r="AM8" t="s">
        <v>1710</v>
      </c>
      <c r="AN8" t="s">
        <v>1711</v>
      </c>
      <c r="AO8" t="s">
        <v>1712</v>
      </c>
      <c r="AP8" t="s">
        <v>1713</v>
      </c>
      <c r="AQ8" t="s">
        <v>1714</v>
      </c>
      <c r="AR8" t="s">
        <v>1715</v>
      </c>
      <c r="AS8" t="s">
        <v>1518</v>
      </c>
      <c r="AT8" t="s">
        <v>1716</v>
      </c>
      <c r="AU8" t="s">
        <v>1717</v>
      </c>
      <c r="AV8" t="s">
        <v>1718</v>
      </c>
      <c r="AW8" t="s">
        <v>1719</v>
      </c>
      <c r="AX8" t="s">
        <v>1720</v>
      </c>
      <c r="AY8" t="s">
        <v>1721</v>
      </c>
      <c r="AZ8" t="s">
        <v>1722</v>
      </c>
      <c r="BB8" t="s">
        <v>1723</v>
      </c>
      <c r="BC8" t="s">
        <v>1724</v>
      </c>
      <c r="BD8" t="s">
        <v>1725</v>
      </c>
      <c r="BE8" t="s">
        <v>1726</v>
      </c>
      <c r="BF8" t="s">
        <v>1727</v>
      </c>
      <c r="BH8" t="s">
        <v>1728</v>
      </c>
      <c r="BI8" t="s">
        <v>1729</v>
      </c>
      <c r="BJ8" t="s">
        <v>1730</v>
      </c>
      <c r="BK8" t="s">
        <v>1731</v>
      </c>
      <c r="BL8" t="s">
        <v>1732</v>
      </c>
    </row>
    <row r="9" spans="1:69">
      <c r="A9" t="s">
        <v>1733</v>
      </c>
      <c r="B9">
        <v>401</v>
      </c>
      <c r="C9">
        <v>31</v>
      </c>
      <c r="D9">
        <v>32</v>
      </c>
      <c r="E9">
        <v>93</v>
      </c>
      <c r="F9">
        <v>76</v>
      </c>
      <c r="G9">
        <v>39</v>
      </c>
      <c r="H9">
        <v>46</v>
      </c>
      <c r="I9">
        <v>52</v>
      </c>
      <c r="J9" t="s">
        <v>1359</v>
      </c>
      <c r="K9">
        <v>9</v>
      </c>
      <c r="L9" t="s">
        <v>1029</v>
      </c>
      <c r="M9" t="str">
        <f t="shared" si="0"/>
        <v>Mount Washington</v>
      </c>
      <c r="N9" t="s">
        <v>1734</v>
      </c>
      <c r="O9" t="s">
        <v>1735</v>
      </c>
      <c r="P9" t="s">
        <v>1736</v>
      </c>
      <c r="Q9" t="s">
        <v>1737</v>
      </c>
      <c r="R9" t="s">
        <v>1738</v>
      </c>
      <c r="S9" t="s">
        <v>1739</v>
      </c>
      <c r="T9" t="s">
        <v>1740</v>
      </c>
      <c r="W9" t="s">
        <v>1741</v>
      </c>
      <c r="X9" t="s">
        <v>1742</v>
      </c>
      <c r="Y9" t="s">
        <v>1743</v>
      </c>
      <c r="Z9" t="s">
        <v>1744</v>
      </c>
      <c r="AA9" t="s">
        <v>1745</v>
      </c>
      <c r="AB9" t="s">
        <v>1746</v>
      </c>
      <c r="AC9" t="s">
        <v>1747</v>
      </c>
      <c r="AD9" t="s">
        <v>1748</v>
      </c>
      <c r="AE9" t="s">
        <v>1749</v>
      </c>
      <c r="AF9" t="s">
        <v>1750</v>
      </c>
      <c r="AG9" t="s">
        <v>1751</v>
      </c>
      <c r="AI9" t="s">
        <v>1752</v>
      </c>
      <c r="AJ9" t="s">
        <v>1753</v>
      </c>
      <c r="AK9" t="s">
        <v>1754</v>
      </c>
      <c r="AL9" t="s">
        <v>1755</v>
      </c>
      <c r="AM9" t="s">
        <v>1756</v>
      </c>
      <c r="AN9" t="s">
        <v>1757</v>
      </c>
      <c r="AO9" t="s">
        <v>1758</v>
      </c>
      <c r="AP9" t="s">
        <v>1759</v>
      </c>
      <c r="AQ9" t="s">
        <v>1760</v>
      </c>
      <c r="AR9" t="s">
        <v>1761</v>
      </c>
      <c r="AS9" t="s">
        <v>1762</v>
      </c>
      <c r="AT9" t="s">
        <v>1763</v>
      </c>
      <c r="AU9" t="s">
        <v>1764</v>
      </c>
      <c r="AV9" t="s">
        <v>1765</v>
      </c>
      <c r="AW9" t="s">
        <v>1766</v>
      </c>
      <c r="AX9" t="s">
        <v>1767</v>
      </c>
      <c r="AY9" t="s">
        <v>1768</v>
      </c>
      <c r="AZ9" t="s">
        <v>1769</v>
      </c>
      <c r="BB9" t="s">
        <v>1770</v>
      </c>
      <c r="BC9" t="s">
        <v>1771</v>
      </c>
      <c r="BD9" t="s">
        <v>1772</v>
      </c>
      <c r="BE9" t="s">
        <v>1773</v>
      </c>
      <c r="BF9" s="701" t="s">
        <v>2748</v>
      </c>
      <c r="BH9" t="s">
        <v>1774</v>
      </c>
      <c r="BI9" t="s">
        <v>1775</v>
      </c>
      <c r="BJ9" t="s">
        <v>1776</v>
      </c>
      <c r="BK9" t="s">
        <v>1777</v>
      </c>
      <c r="BL9" t="s">
        <v>1778</v>
      </c>
    </row>
    <row r="10" spans="1:69">
      <c r="A10" t="s">
        <v>1779</v>
      </c>
      <c r="B10">
        <v>581</v>
      </c>
      <c r="C10">
        <v>34</v>
      </c>
      <c r="D10">
        <v>21</v>
      </c>
      <c r="E10">
        <v>94</v>
      </c>
      <c r="F10">
        <v>75</v>
      </c>
      <c r="G10">
        <v>31</v>
      </c>
      <c r="H10">
        <v>38</v>
      </c>
      <c r="I10">
        <v>44</v>
      </c>
      <c r="J10" t="s">
        <v>1359</v>
      </c>
      <c r="K10">
        <v>10</v>
      </c>
      <c r="L10" t="s">
        <v>1780</v>
      </c>
      <c r="M10" t="str">
        <f t="shared" si="0"/>
        <v>Portsmouth, Pease AFB</v>
      </c>
      <c r="N10" t="s">
        <v>1781</v>
      </c>
      <c r="O10" t="s">
        <v>1782</v>
      </c>
      <c r="P10" t="s">
        <v>1783</v>
      </c>
      <c r="Q10" t="s">
        <v>1784</v>
      </c>
      <c r="R10" t="s">
        <v>1785</v>
      </c>
      <c r="S10" t="s">
        <v>1786</v>
      </c>
      <c r="W10" t="s">
        <v>1787</v>
      </c>
      <c r="X10" t="s">
        <v>1788</v>
      </c>
      <c r="Z10" t="s">
        <v>1789</v>
      </c>
      <c r="AA10" t="s">
        <v>1790</v>
      </c>
      <c r="AB10" t="s">
        <v>1791</v>
      </c>
      <c r="AC10" t="s">
        <v>1792</v>
      </c>
      <c r="AD10" t="s">
        <v>1793</v>
      </c>
      <c r="AE10" t="s">
        <v>1794</v>
      </c>
      <c r="AF10" t="s">
        <v>1795</v>
      </c>
      <c r="AG10" t="s">
        <v>1796</v>
      </c>
      <c r="AI10" t="s">
        <v>1797</v>
      </c>
      <c r="AJ10" t="s">
        <v>1798</v>
      </c>
      <c r="AK10" t="s">
        <v>1799</v>
      </c>
      <c r="AL10" t="s">
        <v>1800</v>
      </c>
      <c r="AM10" t="s">
        <v>1801</v>
      </c>
      <c r="AN10" t="s">
        <v>1802</v>
      </c>
      <c r="AO10" t="s">
        <v>1803</v>
      </c>
      <c r="AP10" t="s">
        <v>1804</v>
      </c>
      <c r="AQ10" t="s">
        <v>1805</v>
      </c>
      <c r="AR10" t="s">
        <v>1806</v>
      </c>
      <c r="AS10" t="s">
        <v>1807</v>
      </c>
      <c r="AT10" t="s">
        <v>1808</v>
      </c>
      <c r="AU10" t="s">
        <v>1809</v>
      </c>
      <c r="AV10" t="s">
        <v>1810</v>
      </c>
      <c r="AW10" t="s">
        <v>1811</v>
      </c>
      <c r="AX10" t="s">
        <v>1812</v>
      </c>
      <c r="AY10" t="s">
        <v>1813</v>
      </c>
      <c r="AZ10" t="s">
        <v>1814</v>
      </c>
      <c r="BB10" t="s">
        <v>1613</v>
      </c>
      <c r="BC10" t="s">
        <v>1815</v>
      </c>
      <c r="BD10" t="s">
        <v>1709</v>
      </c>
      <c r="BE10" t="s">
        <v>1816</v>
      </c>
      <c r="BF10" t="s">
        <v>1817</v>
      </c>
      <c r="BH10" t="s">
        <v>1818</v>
      </c>
      <c r="BI10" t="s">
        <v>1819</v>
      </c>
      <c r="BJ10" t="s">
        <v>1820</v>
      </c>
      <c r="BK10" t="s">
        <v>1821</v>
      </c>
      <c r="BL10" t="s">
        <v>1822</v>
      </c>
    </row>
    <row r="11" spans="1:69">
      <c r="A11" t="s">
        <v>1823</v>
      </c>
      <c r="B11">
        <v>569</v>
      </c>
      <c r="C11">
        <v>34</v>
      </c>
      <c r="D11">
        <v>20</v>
      </c>
      <c r="E11">
        <v>94</v>
      </c>
      <c r="F11">
        <v>75</v>
      </c>
      <c r="G11">
        <v>31</v>
      </c>
      <c r="H11">
        <v>38</v>
      </c>
      <c r="I11">
        <v>44</v>
      </c>
      <c r="J11" t="s">
        <v>1359</v>
      </c>
      <c r="K11">
        <v>11</v>
      </c>
      <c r="L11" t="s">
        <v>1824</v>
      </c>
      <c r="M11">
        <f t="shared" si="0"/>
        <v>0</v>
      </c>
      <c r="N11" t="s">
        <v>1825</v>
      </c>
      <c r="O11" t="s">
        <v>1826</v>
      </c>
      <c r="P11" t="s">
        <v>1827</v>
      </c>
      <c r="Q11" t="s">
        <v>1828</v>
      </c>
      <c r="R11" t="s">
        <v>1829</v>
      </c>
      <c r="S11" t="s">
        <v>1830</v>
      </c>
      <c r="W11" t="s">
        <v>1831</v>
      </c>
      <c r="X11" t="s">
        <v>1832</v>
      </c>
      <c r="Z11" t="s">
        <v>1833</v>
      </c>
      <c r="AA11" t="s">
        <v>1834</v>
      </c>
      <c r="AB11" t="s">
        <v>1835</v>
      </c>
      <c r="AC11" t="s">
        <v>1836</v>
      </c>
      <c r="AD11" t="s">
        <v>1837</v>
      </c>
      <c r="AE11" t="s">
        <v>1838</v>
      </c>
      <c r="AF11" t="s">
        <v>1839</v>
      </c>
      <c r="AI11" t="s">
        <v>1840</v>
      </c>
      <c r="AJ11" t="s">
        <v>1841</v>
      </c>
      <c r="AK11" t="s">
        <v>1842</v>
      </c>
      <c r="AL11" t="s">
        <v>1843</v>
      </c>
      <c r="AM11" t="s">
        <v>1844</v>
      </c>
      <c r="AN11" t="s">
        <v>1845</v>
      </c>
      <c r="AO11" t="s">
        <v>1846</v>
      </c>
      <c r="AP11" t="s">
        <v>1847</v>
      </c>
      <c r="AR11" t="s">
        <v>1848</v>
      </c>
      <c r="AS11" t="s">
        <v>1849</v>
      </c>
      <c r="AT11" t="s">
        <v>1850</v>
      </c>
      <c r="AU11" t="s">
        <v>1851</v>
      </c>
      <c r="AW11" t="s">
        <v>1852</v>
      </c>
      <c r="AX11" t="s">
        <v>1853</v>
      </c>
      <c r="AY11" t="s">
        <v>1854</v>
      </c>
      <c r="AZ11" t="s">
        <v>1855</v>
      </c>
      <c r="BB11" t="s">
        <v>1856</v>
      </c>
      <c r="BC11" t="s">
        <v>1857</v>
      </c>
      <c r="BD11" t="s">
        <v>1858</v>
      </c>
      <c r="BE11" t="s">
        <v>1859</v>
      </c>
      <c r="BF11" t="s">
        <v>1860</v>
      </c>
      <c r="BH11" t="s">
        <v>1861</v>
      </c>
      <c r="BI11" t="s">
        <v>1862</v>
      </c>
      <c r="BJ11" t="s">
        <v>1863</v>
      </c>
      <c r="BK11" t="s">
        <v>1864</v>
      </c>
      <c r="BL11" t="s">
        <v>1865</v>
      </c>
    </row>
    <row r="12" spans="1:69">
      <c r="A12" t="s">
        <v>1866</v>
      </c>
      <c r="B12">
        <v>629</v>
      </c>
      <c r="C12">
        <v>34</v>
      </c>
      <c r="D12">
        <v>20</v>
      </c>
      <c r="E12">
        <v>92</v>
      </c>
      <c r="F12">
        <v>74</v>
      </c>
      <c r="G12">
        <v>28</v>
      </c>
      <c r="H12">
        <v>35</v>
      </c>
      <c r="I12">
        <v>41</v>
      </c>
      <c r="J12" t="s">
        <v>1359</v>
      </c>
      <c r="K12">
        <v>12</v>
      </c>
      <c r="L12" t="s">
        <v>1867</v>
      </c>
      <c r="M12">
        <f t="shared" si="0"/>
        <v>0</v>
      </c>
      <c r="N12" t="s">
        <v>1868</v>
      </c>
      <c r="O12" t="s">
        <v>1869</v>
      </c>
      <c r="P12" t="s">
        <v>1870</v>
      </c>
      <c r="R12" t="s">
        <v>1871</v>
      </c>
      <c r="S12" t="s">
        <v>1872</v>
      </c>
      <c r="W12" t="s">
        <v>1873</v>
      </c>
      <c r="X12" t="s">
        <v>1874</v>
      </c>
      <c r="Z12" t="s">
        <v>1875</v>
      </c>
      <c r="AA12" t="s">
        <v>1592</v>
      </c>
      <c r="AB12" t="s">
        <v>1876</v>
      </c>
      <c r="AC12" t="s">
        <v>1877</v>
      </c>
      <c r="AD12" t="s">
        <v>1878</v>
      </c>
      <c r="AE12" t="s">
        <v>1879</v>
      </c>
      <c r="AF12" t="s">
        <v>1880</v>
      </c>
      <c r="AI12" t="s">
        <v>1881</v>
      </c>
      <c r="AJ12" t="s">
        <v>1882</v>
      </c>
      <c r="AK12" t="s">
        <v>1883</v>
      </c>
      <c r="AL12" t="s">
        <v>1884</v>
      </c>
      <c r="AM12" t="s">
        <v>1885</v>
      </c>
      <c r="AN12" t="s">
        <v>1886</v>
      </c>
      <c r="AO12" t="s">
        <v>1887</v>
      </c>
      <c r="AP12" t="s">
        <v>1888</v>
      </c>
      <c r="AS12" t="s">
        <v>1889</v>
      </c>
      <c r="AT12" t="s">
        <v>1890</v>
      </c>
      <c r="AU12" t="s">
        <v>1772</v>
      </c>
      <c r="AW12" t="s">
        <v>1891</v>
      </c>
      <c r="AX12" t="s">
        <v>1892</v>
      </c>
      <c r="AY12" t="s">
        <v>1893</v>
      </c>
      <c r="AZ12" t="s">
        <v>1894</v>
      </c>
      <c r="BB12" t="s">
        <v>1895</v>
      </c>
      <c r="BD12" t="s">
        <v>1896</v>
      </c>
      <c r="BE12" t="s">
        <v>1897</v>
      </c>
      <c r="BH12" t="s">
        <v>1898</v>
      </c>
      <c r="BI12" t="s">
        <v>1899</v>
      </c>
      <c r="BK12" t="s">
        <v>1900</v>
      </c>
      <c r="BL12" t="s">
        <v>1901</v>
      </c>
    </row>
    <row r="13" spans="1:69">
      <c r="A13" t="s">
        <v>1902</v>
      </c>
      <c r="B13">
        <v>218</v>
      </c>
      <c r="C13">
        <v>30</v>
      </c>
      <c r="D13">
        <v>30</v>
      </c>
      <c r="E13">
        <v>92</v>
      </c>
      <c r="F13">
        <v>76</v>
      </c>
      <c r="G13">
        <v>41</v>
      </c>
      <c r="H13">
        <v>48</v>
      </c>
      <c r="I13">
        <v>54</v>
      </c>
      <c r="J13" t="s">
        <v>1359</v>
      </c>
      <c r="K13">
        <v>13</v>
      </c>
      <c r="L13" t="s">
        <v>1903</v>
      </c>
      <c r="M13">
        <f t="shared" si="0"/>
        <v>0</v>
      </c>
      <c r="N13" t="s">
        <v>1904</v>
      </c>
      <c r="O13" t="s">
        <v>1905</v>
      </c>
      <c r="P13" t="s">
        <v>1906</v>
      </c>
      <c r="R13" t="s">
        <v>1907</v>
      </c>
      <c r="S13" t="s">
        <v>1908</v>
      </c>
      <c r="W13" t="s">
        <v>1909</v>
      </c>
      <c r="X13" t="s">
        <v>1910</v>
      </c>
      <c r="AA13" t="s">
        <v>1911</v>
      </c>
      <c r="AB13" t="s">
        <v>1912</v>
      </c>
      <c r="AC13" t="s">
        <v>1913</v>
      </c>
      <c r="AD13" t="s">
        <v>1914</v>
      </c>
      <c r="AE13" t="s">
        <v>1915</v>
      </c>
      <c r="AF13" t="s">
        <v>1916</v>
      </c>
      <c r="AI13" t="s">
        <v>1917</v>
      </c>
      <c r="AJ13" t="s">
        <v>1709</v>
      </c>
      <c r="AK13" t="s">
        <v>1918</v>
      </c>
      <c r="AL13" t="s">
        <v>1919</v>
      </c>
      <c r="AM13" t="s">
        <v>1920</v>
      </c>
      <c r="AN13" t="s">
        <v>1649</v>
      </c>
      <c r="AO13" t="s">
        <v>1921</v>
      </c>
      <c r="AS13" t="s">
        <v>1922</v>
      </c>
      <c r="AT13" t="s">
        <v>1923</v>
      </c>
      <c r="AU13" t="s">
        <v>1924</v>
      </c>
      <c r="AW13" t="s">
        <v>1925</v>
      </c>
      <c r="AX13" t="s">
        <v>1926</v>
      </c>
      <c r="AY13" t="s">
        <v>1927</v>
      </c>
      <c r="AZ13" t="s">
        <v>1928</v>
      </c>
      <c r="BB13" t="s">
        <v>1929</v>
      </c>
      <c r="BD13" t="s">
        <v>1930</v>
      </c>
      <c r="BE13" t="s">
        <v>1931</v>
      </c>
      <c r="BH13" t="s">
        <v>1932</v>
      </c>
      <c r="BI13" t="s">
        <v>1933</v>
      </c>
      <c r="BK13" t="s">
        <v>1934</v>
      </c>
      <c r="BL13" t="s">
        <v>1935</v>
      </c>
    </row>
    <row r="14" spans="1:69">
      <c r="A14" t="s">
        <v>1936</v>
      </c>
      <c r="B14">
        <v>26</v>
      </c>
      <c r="C14">
        <v>30</v>
      </c>
      <c r="D14">
        <v>29</v>
      </c>
      <c r="E14">
        <v>93</v>
      </c>
      <c r="F14">
        <v>77</v>
      </c>
      <c r="G14">
        <v>46</v>
      </c>
      <c r="H14">
        <v>53</v>
      </c>
      <c r="I14">
        <v>59</v>
      </c>
      <c r="J14" t="s">
        <v>1359</v>
      </c>
      <c r="K14">
        <v>14</v>
      </c>
      <c r="L14" t="s">
        <v>1937</v>
      </c>
      <c r="M14">
        <f t="shared" si="0"/>
        <v>0</v>
      </c>
      <c r="N14" t="s">
        <v>1938</v>
      </c>
      <c r="O14" t="s">
        <v>1939</v>
      </c>
      <c r="P14" t="s">
        <v>1940</v>
      </c>
      <c r="R14" t="s">
        <v>1941</v>
      </c>
      <c r="S14" t="s">
        <v>1942</v>
      </c>
      <c r="W14" t="s">
        <v>1943</v>
      </c>
      <c r="X14" t="s">
        <v>1944</v>
      </c>
      <c r="AA14" t="s">
        <v>1945</v>
      </c>
      <c r="AB14" t="s">
        <v>1946</v>
      </c>
      <c r="AC14" t="s">
        <v>1947</v>
      </c>
      <c r="AD14" t="s">
        <v>1948</v>
      </c>
      <c r="AF14" t="s">
        <v>1949</v>
      </c>
      <c r="AI14" t="s">
        <v>1950</v>
      </c>
      <c r="AJ14" t="s">
        <v>1951</v>
      </c>
      <c r="AK14" t="s">
        <v>1952</v>
      </c>
      <c r="AL14" t="s">
        <v>1953</v>
      </c>
      <c r="AM14" t="s">
        <v>2752</v>
      </c>
      <c r="AN14" t="s">
        <v>1954</v>
      </c>
      <c r="AO14" t="s">
        <v>1955</v>
      </c>
      <c r="AS14" t="s">
        <v>1956</v>
      </c>
      <c r="AT14" t="s">
        <v>1957</v>
      </c>
      <c r="AU14" t="s">
        <v>1958</v>
      </c>
      <c r="AW14" t="s">
        <v>1959</v>
      </c>
      <c r="AX14" t="s">
        <v>1960</v>
      </c>
      <c r="AY14" t="s">
        <v>1961</v>
      </c>
      <c r="AZ14" t="s">
        <v>1962</v>
      </c>
      <c r="BB14" t="s">
        <v>1963</v>
      </c>
      <c r="BD14" t="s">
        <v>1964</v>
      </c>
      <c r="BE14" t="s">
        <v>1965</v>
      </c>
      <c r="BH14" t="s">
        <v>1966</v>
      </c>
      <c r="BI14" t="s">
        <v>1967</v>
      </c>
      <c r="BK14" t="s">
        <v>1968</v>
      </c>
      <c r="BL14" t="s">
        <v>1969</v>
      </c>
    </row>
    <row r="15" spans="1:69">
      <c r="A15" t="s">
        <v>1970</v>
      </c>
      <c r="B15">
        <v>221</v>
      </c>
      <c r="C15">
        <v>32</v>
      </c>
      <c r="D15">
        <v>27</v>
      </c>
      <c r="E15">
        <v>93</v>
      </c>
      <c r="F15">
        <v>76</v>
      </c>
      <c r="G15">
        <v>39</v>
      </c>
      <c r="H15">
        <v>46</v>
      </c>
      <c r="I15">
        <v>52</v>
      </c>
      <c r="J15" t="s">
        <v>1359</v>
      </c>
      <c r="K15">
        <v>15</v>
      </c>
      <c r="L15" t="s">
        <v>1971</v>
      </c>
      <c r="M15">
        <f t="shared" si="0"/>
        <v>0</v>
      </c>
      <c r="N15" t="s">
        <v>1972</v>
      </c>
      <c r="O15" t="s">
        <v>1973</v>
      </c>
      <c r="R15" t="s">
        <v>1974</v>
      </c>
      <c r="S15" t="s">
        <v>1975</v>
      </c>
      <c r="W15" t="s">
        <v>1976</v>
      </c>
      <c r="X15" t="s">
        <v>1977</v>
      </c>
      <c r="AA15" t="s">
        <v>1978</v>
      </c>
      <c r="AB15" t="s">
        <v>1979</v>
      </c>
      <c r="AC15" t="s">
        <v>1980</v>
      </c>
      <c r="AD15" t="s">
        <v>1981</v>
      </c>
      <c r="AF15" t="s">
        <v>1982</v>
      </c>
      <c r="AI15" t="s">
        <v>1983</v>
      </c>
      <c r="AJ15" t="s">
        <v>1984</v>
      </c>
      <c r="AK15" t="s">
        <v>1985</v>
      </c>
      <c r="AM15" t="s">
        <v>2753</v>
      </c>
      <c r="AN15" t="s">
        <v>1986</v>
      </c>
      <c r="AO15" t="s">
        <v>1987</v>
      </c>
      <c r="AS15" t="s">
        <v>1988</v>
      </c>
      <c r="AT15" t="s">
        <v>1989</v>
      </c>
      <c r="AU15" t="s">
        <v>1990</v>
      </c>
      <c r="AW15" t="s">
        <v>1991</v>
      </c>
      <c r="AX15" t="s">
        <v>1992</v>
      </c>
      <c r="AY15" t="s">
        <v>1993</v>
      </c>
      <c r="AZ15" t="s">
        <v>1994</v>
      </c>
      <c r="BB15" t="s">
        <v>1995</v>
      </c>
      <c r="BD15" t="s">
        <v>1996</v>
      </c>
      <c r="BE15" t="s">
        <v>1997</v>
      </c>
      <c r="BH15" t="s">
        <v>1998</v>
      </c>
      <c r="BI15" t="s">
        <v>1999</v>
      </c>
      <c r="BK15" t="s">
        <v>2000</v>
      </c>
      <c r="BL15" t="s">
        <v>2001</v>
      </c>
    </row>
    <row r="16" spans="1:69">
      <c r="A16" t="s">
        <v>2002</v>
      </c>
      <c r="B16">
        <v>356</v>
      </c>
      <c r="C16">
        <v>31</v>
      </c>
      <c r="D16">
        <v>31</v>
      </c>
      <c r="E16">
        <v>94</v>
      </c>
      <c r="F16">
        <v>77</v>
      </c>
      <c r="G16">
        <v>44</v>
      </c>
      <c r="H16">
        <v>51</v>
      </c>
      <c r="I16">
        <v>57</v>
      </c>
      <c r="J16" t="s">
        <v>1359</v>
      </c>
      <c r="K16">
        <v>16</v>
      </c>
      <c r="L16" t="s">
        <v>2003</v>
      </c>
      <c r="M16">
        <f t="shared" si="0"/>
        <v>0</v>
      </c>
      <c r="N16" t="s">
        <v>2004</v>
      </c>
      <c r="O16" t="s">
        <v>2005</v>
      </c>
      <c r="R16" t="s">
        <v>2006</v>
      </c>
      <c r="S16" t="s">
        <v>2007</v>
      </c>
      <c r="W16" t="s">
        <v>2008</v>
      </c>
      <c r="X16" t="s">
        <v>2009</v>
      </c>
      <c r="AA16" t="s">
        <v>2010</v>
      </c>
      <c r="AB16" t="s">
        <v>2011</v>
      </c>
      <c r="AC16" t="s">
        <v>2012</v>
      </c>
      <c r="AD16" t="s">
        <v>2013</v>
      </c>
      <c r="AI16" t="s">
        <v>2014</v>
      </c>
      <c r="AJ16" t="s">
        <v>2015</v>
      </c>
      <c r="AK16" t="s">
        <v>2016</v>
      </c>
      <c r="AM16" t="s">
        <v>2754</v>
      </c>
      <c r="AN16" t="s">
        <v>2017</v>
      </c>
      <c r="AO16" t="s">
        <v>2018</v>
      </c>
      <c r="AS16" t="s">
        <v>2019</v>
      </c>
      <c r="AT16" t="s">
        <v>2020</v>
      </c>
      <c r="AU16" t="s">
        <v>2021</v>
      </c>
      <c r="AW16" t="s">
        <v>1616</v>
      </c>
      <c r="AX16" t="s">
        <v>2022</v>
      </c>
      <c r="AY16" t="s">
        <v>2023</v>
      </c>
      <c r="AZ16" t="s">
        <v>2024</v>
      </c>
      <c r="BE16" t="s">
        <v>2025</v>
      </c>
      <c r="BH16" t="s">
        <v>2026</v>
      </c>
      <c r="BI16" t="s">
        <v>2027</v>
      </c>
      <c r="BK16" t="s">
        <v>2028</v>
      </c>
    </row>
    <row r="17" spans="1:63">
      <c r="A17" t="s">
        <v>2029</v>
      </c>
      <c r="B17">
        <v>166</v>
      </c>
      <c r="C17">
        <v>32</v>
      </c>
      <c r="D17">
        <v>26</v>
      </c>
      <c r="E17">
        <v>95</v>
      </c>
      <c r="F17">
        <v>77</v>
      </c>
      <c r="G17">
        <v>42</v>
      </c>
      <c r="H17">
        <v>49</v>
      </c>
      <c r="I17">
        <v>55</v>
      </c>
      <c r="J17" t="s">
        <v>1359</v>
      </c>
      <c r="K17">
        <v>17</v>
      </c>
      <c r="L17" t="s">
        <v>2030</v>
      </c>
      <c r="M17">
        <f t="shared" si="0"/>
        <v>0</v>
      </c>
      <c r="N17" t="s">
        <v>2031</v>
      </c>
      <c r="O17" t="s">
        <v>2032</v>
      </c>
      <c r="R17" t="s">
        <v>2033</v>
      </c>
      <c r="S17" t="s">
        <v>2034</v>
      </c>
      <c r="W17" t="s">
        <v>2035</v>
      </c>
      <c r="X17" t="s">
        <v>2036</v>
      </c>
      <c r="AA17" t="s">
        <v>2037</v>
      </c>
      <c r="AB17" t="s">
        <v>2038</v>
      </c>
      <c r="AC17" t="s">
        <v>2039</v>
      </c>
      <c r="AD17" t="s">
        <v>2040</v>
      </c>
      <c r="AJ17" t="s">
        <v>2041</v>
      </c>
      <c r="AK17" t="s">
        <v>2042</v>
      </c>
      <c r="AM17" t="s">
        <v>2043</v>
      </c>
      <c r="AO17" t="s">
        <v>2044</v>
      </c>
      <c r="AS17" t="s">
        <v>2045</v>
      </c>
      <c r="AT17" t="s">
        <v>2046</v>
      </c>
      <c r="AU17" t="s">
        <v>2047</v>
      </c>
      <c r="AW17" t="s">
        <v>2048</v>
      </c>
      <c r="AX17" t="s">
        <v>2049</v>
      </c>
      <c r="AY17" t="s">
        <v>2050</v>
      </c>
      <c r="AZ17" t="s">
        <v>2051</v>
      </c>
      <c r="BE17" t="s">
        <v>2052</v>
      </c>
      <c r="BH17" t="s">
        <v>2007</v>
      </c>
      <c r="BI17" t="s">
        <v>2053</v>
      </c>
      <c r="BK17" t="s">
        <v>2054</v>
      </c>
    </row>
    <row r="18" spans="1:63">
      <c r="A18" t="s">
        <v>2055</v>
      </c>
      <c r="B18">
        <v>528</v>
      </c>
      <c r="C18">
        <v>33</v>
      </c>
      <c r="D18">
        <v>22</v>
      </c>
      <c r="E18">
        <v>94</v>
      </c>
      <c r="F18">
        <v>76</v>
      </c>
      <c r="G18">
        <v>37</v>
      </c>
      <c r="H18">
        <v>44</v>
      </c>
      <c r="I18">
        <v>50</v>
      </c>
      <c r="J18" t="s">
        <v>1359</v>
      </c>
      <c r="K18">
        <v>18</v>
      </c>
      <c r="L18" t="s">
        <v>2056</v>
      </c>
      <c r="M18">
        <f t="shared" si="0"/>
        <v>0</v>
      </c>
      <c r="O18" t="s">
        <v>2057</v>
      </c>
      <c r="R18" t="s">
        <v>2058</v>
      </c>
      <c r="W18" t="s">
        <v>2059</v>
      </c>
      <c r="X18" t="s">
        <v>2060</v>
      </c>
      <c r="AA18" t="s">
        <v>1772</v>
      </c>
      <c r="AB18" t="s">
        <v>2061</v>
      </c>
      <c r="AC18" t="s">
        <v>2062</v>
      </c>
      <c r="AD18" t="s">
        <v>2063</v>
      </c>
      <c r="AJ18" t="s">
        <v>2064</v>
      </c>
      <c r="AK18" t="s">
        <v>2065</v>
      </c>
      <c r="AM18" t="s">
        <v>2066</v>
      </c>
      <c r="AO18" t="s">
        <v>2067</v>
      </c>
      <c r="AS18" t="s">
        <v>2068</v>
      </c>
      <c r="AT18" t="s">
        <v>2069</v>
      </c>
      <c r="AU18" t="s">
        <v>2070</v>
      </c>
      <c r="AW18" t="s">
        <v>1855</v>
      </c>
      <c r="AX18" t="s">
        <v>2071</v>
      </c>
      <c r="AY18" t="s">
        <v>2072</v>
      </c>
      <c r="AZ18" t="s">
        <v>2073</v>
      </c>
      <c r="BE18" t="s">
        <v>2074</v>
      </c>
      <c r="BH18" t="s">
        <v>2075</v>
      </c>
      <c r="BI18" t="s">
        <v>2076</v>
      </c>
    </row>
    <row r="19" spans="1:63">
      <c r="A19" t="s">
        <v>2077</v>
      </c>
      <c r="B19">
        <v>170</v>
      </c>
      <c r="C19">
        <v>33</v>
      </c>
      <c r="D19">
        <v>24</v>
      </c>
      <c r="E19">
        <v>94</v>
      </c>
      <c r="F19">
        <v>77</v>
      </c>
      <c r="G19">
        <v>44</v>
      </c>
      <c r="H19">
        <v>51</v>
      </c>
      <c r="I19">
        <v>57</v>
      </c>
      <c r="J19" t="s">
        <v>1359</v>
      </c>
      <c r="K19">
        <v>19</v>
      </c>
      <c r="L19" t="s">
        <v>2078</v>
      </c>
      <c r="M19">
        <f t="shared" si="0"/>
        <v>0</v>
      </c>
      <c r="O19" t="s">
        <v>2079</v>
      </c>
      <c r="R19" t="s">
        <v>2080</v>
      </c>
      <c r="W19" t="s">
        <v>2081</v>
      </c>
      <c r="X19" t="s">
        <v>2082</v>
      </c>
      <c r="AA19" t="s">
        <v>2083</v>
      </c>
      <c r="AB19" t="s">
        <v>2084</v>
      </c>
      <c r="AC19" t="s">
        <v>2085</v>
      </c>
      <c r="AD19" t="s">
        <v>2086</v>
      </c>
      <c r="AJ19" t="s">
        <v>2087</v>
      </c>
      <c r="AK19" t="s">
        <v>2088</v>
      </c>
      <c r="AM19" t="s">
        <v>2089</v>
      </c>
      <c r="AS19" t="s">
        <v>2090</v>
      </c>
      <c r="AT19" t="s">
        <v>2091</v>
      </c>
      <c r="AU19" t="s">
        <v>2092</v>
      </c>
      <c r="AW19" t="s">
        <v>2093</v>
      </c>
      <c r="AY19" t="s">
        <v>2094</v>
      </c>
      <c r="AZ19" t="s">
        <v>2095</v>
      </c>
      <c r="BE19" t="s">
        <v>2096</v>
      </c>
      <c r="BH19" t="s">
        <v>2097</v>
      </c>
      <c r="BI19" t="s">
        <v>2098</v>
      </c>
    </row>
    <row r="20" spans="1:63">
      <c r="A20" t="s">
        <v>2099</v>
      </c>
      <c r="B20">
        <v>19</v>
      </c>
      <c r="C20">
        <v>52</v>
      </c>
      <c r="D20">
        <v>23</v>
      </c>
      <c r="E20">
        <v>57</v>
      </c>
      <c r="F20">
        <v>53</v>
      </c>
      <c r="G20">
        <v>-18</v>
      </c>
      <c r="H20">
        <v>-11</v>
      </c>
      <c r="I20">
        <v>-5</v>
      </c>
      <c r="J20" t="s">
        <v>1032</v>
      </c>
      <c r="K20">
        <v>20</v>
      </c>
      <c r="L20" t="s">
        <v>2101</v>
      </c>
      <c r="M20">
        <f t="shared" si="0"/>
        <v>0</v>
      </c>
      <c r="O20" t="s">
        <v>2102</v>
      </c>
      <c r="R20" t="s">
        <v>2103</v>
      </c>
      <c r="W20" t="s">
        <v>2104</v>
      </c>
      <c r="X20" t="s">
        <v>2105</v>
      </c>
      <c r="AA20" t="s">
        <v>2106</v>
      </c>
      <c r="AB20" t="s">
        <v>2107</v>
      </c>
      <c r="AJ20" t="s">
        <v>2108</v>
      </c>
      <c r="AM20" t="s">
        <v>2109</v>
      </c>
      <c r="AS20" t="s">
        <v>2110</v>
      </c>
      <c r="AT20" t="s">
        <v>2111</v>
      </c>
      <c r="AU20" t="s">
        <v>1453</v>
      </c>
      <c r="AW20" t="s">
        <v>2112</v>
      </c>
      <c r="AY20" t="s">
        <v>2113</v>
      </c>
      <c r="AZ20" t="s">
        <v>2114</v>
      </c>
      <c r="BE20" t="s">
        <v>2115</v>
      </c>
      <c r="BI20" t="s">
        <v>2116</v>
      </c>
    </row>
    <row r="21" spans="1:63">
      <c r="A21" t="s">
        <v>2117</v>
      </c>
      <c r="B21">
        <v>144</v>
      </c>
      <c r="C21">
        <v>61</v>
      </c>
      <c r="D21">
        <v>-9</v>
      </c>
      <c r="E21">
        <v>68</v>
      </c>
      <c r="F21">
        <v>57</v>
      </c>
      <c r="G21">
        <v>-20</v>
      </c>
      <c r="H21">
        <v>-13</v>
      </c>
      <c r="I21">
        <v>-7</v>
      </c>
      <c r="J21" t="s">
        <v>1032</v>
      </c>
      <c r="K21">
        <v>21</v>
      </c>
      <c r="L21" t="s">
        <v>2118</v>
      </c>
      <c r="M21">
        <f t="shared" si="0"/>
        <v>0</v>
      </c>
      <c r="O21" t="s">
        <v>2119</v>
      </c>
      <c r="R21" t="s">
        <v>2120</v>
      </c>
      <c r="W21" t="s">
        <v>2121</v>
      </c>
      <c r="X21" t="s">
        <v>2122</v>
      </c>
      <c r="AA21" t="s">
        <v>2123</v>
      </c>
      <c r="AB21" t="s">
        <v>1966</v>
      </c>
      <c r="AJ21" t="s">
        <v>2124</v>
      </c>
      <c r="AM21" t="s">
        <v>2125</v>
      </c>
      <c r="AT21" t="s">
        <v>2126</v>
      </c>
      <c r="AU21" t="s">
        <v>2127</v>
      </c>
      <c r="AW21" t="s">
        <v>2038</v>
      </c>
      <c r="AY21" t="s">
        <v>2128</v>
      </c>
      <c r="AZ21" t="s">
        <v>2129</v>
      </c>
      <c r="BE21" t="s">
        <v>2130</v>
      </c>
      <c r="BI21" t="s">
        <v>2131</v>
      </c>
    </row>
    <row r="22" spans="1:63">
      <c r="A22" t="s">
        <v>2132</v>
      </c>
      <c r="B22">
        <v>212</v>
      </c>
      <c r="C22">
        <v>61</v>
      </c>
      <c r="D22">
        <v>-8</v>
      </c>
      <c r="E22">
        <v>69</v>
      </c>
      <c r="F22">
        <v>57</v>
      </c>
      <c r="G22">
        <v>-21</v>
      </c>
      <c r="H22">
        <v>-14</v>
      </c>
      <c r="I22">
        <v>-8</v>
      </c>
      <c r="J22" t="s">
        <v>1032</v>
      </c>
      <c r="K22">
        <v>22</v>
      </c>
      <c r="L22" t="s">
        <v>2133</v>
      </c>
      <c r="M22">
        <f t="shared" si="0"/>
        <v>0</v>
      </c>
      <c r="O22" t="s">
        <v>2134</v>
      </c>
      <c r="R22" t="s">
        <v>2135</v>
      </c>
      <c r="W22" t="s">
        <v>2136</v>
      </c>
      <c r="X22" t="s">
        <v>2137</v>
      </c>
      <c r="AA22" t="s">
        <v>2138</v>
      </c>
      <c r="AB22" t="s">
        <v>2139</v>
      </c>
      <c r="AJ22" t="s">
        <v>2140</v>
      </c>
      <c r="AT22" t="s">
        <v>2141</v>
      </c>
      <c r="AW22" t="s">
        <v>2142</v>
      </c>
      <c r="AZ22" t="s">
        <v>2143</v>
      </c>
      <c r="BE22" t="s">
        <v>2144</v>
      </c>
      <c r="BI22" t="s">
        <v>2145</v>
      </c>
    </row>
    <row r="23" spans="1:63">
      <c r="A23" t="s">
        <v>2146</v>
      </c>
      <c r="B23">
        <v>342</v>
      </c>
      <c r="C23">
        <v>61</v>
      </c>
      <c r="D23">
        <v>-13</v>
      </c>
      <c r="E23">
        <v>71</v>
      </c>
      <c r="F23">
        <v>58</v>
      </c>
      <c r="G23">
        <v>-20</v>
      </c>
      <c r="H23">
        <v>-13</v>
      </c>
      <c r="I23">
        <v>-7</v>
      </c>
      <c r="J23" t="s">
        <v>1359</v>
      </c>
      <c r="K23">
        <v>23</v>
      </c>
      <c r="L23" t="s">
        <v>2147</v>
      </c>
      <c r="M23">
        <f t="shared" si="0"/>
        <v>0</v>
      </c>
      <c r="O23" t="s">
        <v>2148</v>
      </c>
      <c r="R23" t="s">
        <v>2149</v>
      </c>
      <c r="W23" t="s">
        <v>2150</v>
      </c>
      <c r="X23" t="s">
        <v>2151</v>
      </c>
      <c r="AA23" t="s">
        <v>2152</v>
      </c>
      <c r="AB23" t="s">
        <v>2153</v>
      </c>
      <c r="AJ23" t="s">
        <v>2154</v>
      </c>
      <c r="AT23" t="s">
        <v>2155</v>
      </c>
      <c r="AW23" t="s">
        <v>2156</v>
      </c>
      <c r="AZ23" t="s">
        <v>2157</v>
      </c>
      <c r="BE23" t="s">
        <v>1772</v>
      </c>
    </row>
    <row r="24" spans="1:63">
      <c r="A24" t="s">
        <v>2158</v>
      </c>
      <c r="B24">
        <v>110</v>
      </c>
      <c r="C24">
        <v>55</v>
      </c>
      <c r="D24">
        <v>17</v>
      </c>
      <c r="E24">
        <v>70</v>
      </c>
      <c r="F24">
        <v>59</v>
      </c>
      <c r="G24">
        <v>-14</v>
      </c>
      <c r="H24">
        <v>-7</v>
      </c>
      <c r="I24">
        <v>-1</v>
      </c>
      <c r="J24" t="s">
        <v>1032</v>
      </c>
      <c r="K24">
        <v>24</v>
      </c>
      <c r="L24" t="s">
        <v>2159</v>
      </c>
      <c r="M24">
        <f t="shared" si="0"/>
        <v>0</v>
      </c>
      <c r="O24" t="s">
        <v>2160</v>
      </c>
      <c r="R24" t="s">
        <v>2161</v>
      </c>
      <c r="W24" t="s">
        <v>2162</v>
      </c>
      <c r="AA24" t="s">
        <v>2163</v>
      </c>
      <c r="AB24" t="s">
        <v>2164</v>
      </c>
      <c r="AJ24" t="s">
        <v>2165</v>
      </c>
      <c r="AT24" t="s">
        <v>2166</v>
      </c>
      <c r="AW24" t="s">
        <v>1598</v>
      </c>
      <c r="AZ24" t="s">
        <v>2167</v>
      </c>
      <c r="BE24" t="s">
        <v>2168</v>
      </c>
    </row>
    <row r="25" spans="1:63">
      <c r="A25" t="s">
        <v>2169</v>
      </c>
      <c r="B25">
        <v>44</v>
      </c>
      <c r="C25">
        <v>71</v>
      </c>
      <c r="D25">
        <v>36</v>
      </c>
      <c r="E25">
        <v>52</v>
      </c>
      <c r="F25">
        <v>49</v>
      </c>
      <c r="G25">
        <v>-25</v>
      </c>
      <c r="H25">
        <v>-18</v>
      </c>
      <c r="I25">
        <v>-12</v>
      </c>
      <c r="J25" t="s">
        <v>1032</v>
      </c>
      <c r="K25">
        <v>25</v>
      </c>
      <c r="L25" t="s">
        <v>2170</v>
      </c>
      <c r="M25">
        <f t="shared" si="0"/>
        <v>0</v>
      </c>
      <c r="O25" t="s">
        <v>2171</v>
      </c>
      <c r="R25" t="s">
        <v>2172</v>
      </c>
      <c r="W25" t="s">
        <v>2173</v>
      </c>
      <c r="AA25" t="s">
        <v>2174</v>
      </c>
      <c r="AB25" t="s">
        <v>2175</v>
      </c>
      <c r="AJ25" t="s">
        <v>2176</v>
      </c>
      <c r="AT25" t="s">
        <v>2177</v>
      </c>
      <c r="AW25" t="s">
        <v>2178</v>
      </c>
      <c r="AZ25" t="s">
        <v>2179</v>
      </c>
      <c r="BE25" t="s">
        <v>2180</v>
      </c>
    </row>
    <row r="26" spans="1:63">
      <c r="A26" t="s">
        <v>2181</v>
      </c>
      <c r="B26">
        <v>123</v>
      </c>
      <c r="C26">
        <v>61</v>
      </c>
      <c r="D26">
        <v>-24</v>
      </c>
      <c r="E26">
        <v>68</v>
      </c>
      <c r="F26">
        <v>57</v>
      </c>
      <c r="G26">
        <v>-20</v>
      </c>
      <c r="H26">
        <v>-13</v>
      </c>
      <c r="I26">
        <v>-7</v>
      </c>
      <c r="J26" t="s">
        <v>1359</v>
      </c>
      <c r="K26">
        <v>26</v>
      </c>
      <c r="L26" t="s">
        <v>2182</v>
      </c>
      <c r="M26">
        <f t="shared" si="0"/>
        <v>0</v>
      </c>
      <c r="O26" t="s">
        <v>2183</v>
      </c>
      <c r="R26" t="s">
        <v>2184</v>
      </c>
      <c r="W26" t="s">
        <v>2185</v>
      </c>
      <c r="AA26" t="s">
        <v>2186</v>
      </c>
      <c r="AB26" t="s">
        <v>2187</v>
      </c>
      <c r="AJ26" t="s">
        <v>0</v>
      </c>
      <c r="AT26" t="s">
        <v>1</v>
      </c>
      <c r="AW26" t="s">
        <v>2</v>
      </c>
      <c r="AZ26" t="s">
        <v>3</v>
      </c>
      <c r="BE26" t="s">
        <v>4</v>
      </c>
    </row>
    <row r="27" spans="1:63">
      <c r="A27" t="s">
        <v>5</v>
      </c>
      <c r="B27">
        <v>643</v>
      </c>
      <c r="C27">
        <v>67</v>
      </c>
      <c r="D27">
        <v>-44</v>
      </c>
      <c r="E27">
        <v>75</v>
      </c>
      <c r="F27">
        <v>59</v>
      </c>
      <c r="G27">
        <v>-22</v>
      </c>
      <c r="H27">
        <v>-15</v>
      </c>
      <c r="I27">
        <v>-9</v>
      </c>
      <c r="J27" t="s">
        <v>1359</v>
      </c>
      <c r="K27">
        <v>27</v>
      </c>
      <c r="L27" t="s">
        <v>6</v>
      </c>
      <c r="M27">
        <f t="shared" si="0"/>
        <v>0</v>
      </c>
      <c r="O27" t="s">
        <v>7</v>
      </c>
      <c r="R27" t="s">
        <v>8</v>
      </c>
      <c r="W27" t="s">
        <v>9</v>
      </c>
      <c r="AA27" t="s">
        <v>10</v>
      </c>
      <c r="AJ27" t="s">
        <v>11</v>
      </c>
      <c r="AT27" t="s">
        <v>12</v>
      </c>
      <c r="AW27" t="s">
        <v>13</v>
      </c>
      <c r="AZ27" t="s">
        <v>14</v>
      </c>
      <c r="BE27" t="s">
        <v>15</v>
      </c>
    </row>
    <row r="28" spans="1:63">
      <c r="A28" t="s">
        <v>16</v>
      </c>
      <c r="B28">
        <v>1277</v>
      </c>
      <c r="C28">
        <v>64</v>
      </c>
      <c r="D28">
        <v>-39</v>
      </c>
      <c r="E28">
        <v>75</v>
      </c>
      <c r="F28">
        <v>58</v>
      </c>
      <c r="G28">
        <v>-27</v>
      </c>
      <c r="H28">
        <v>-20</v>
      </c>
      <c r="I28">
        <v>-14</v>
      </c>
      <c r="J28" t="s">
        <v>1359</v>
      </c>
      <c r="K28">
        <v>28</v>
      </c>
      <c r="L28" t="s">
        <v>17</v>
      </c>
      <c r="M28">
        <f t="shared" si="0"/>
        <v>0</v>
      </c>
      <c r="O28" t="s">
        <v>18</v>
      </c>
      <c r="R28" t="s">
        <v>19</v>
      </c>
      <c r="W28" t="s">
        <v>20</v>
      </c>
      <c r="AA28" t="s">
        <v>21</v>
      </c>
      <c r="AJ28" t="s">
        <v>22</v>
      </c>
      <c r="AT28" t="s">
        <v>23</v>
      </c>
      <c r="AW28" t="s">
        <v>24</v>
      </c>
      <c r="BE28" t="s">
        <v>25</v>
      </c>
    </row>
    <row r="29" spans="1:63">
      <c r="A29" t="s">
        <v>26</v>
      </c>
      <c r="B29">
        <v>98</v>
      </c>
      <c r="C29">
        <v>55</v>
      </c>
      <c r="D29">
        <v>10</v>
      </c>
      <c r="E29">
        <v>57</v>
      </c>
      <c r="F29">
        <v>53</v>
      </c>
      <c r="G29">
        <v>-18</v>
      </c>
      <c r="H29">
        <v>-11</v>
      </c>
      <c r="I29">
        <v>-5</v>
      </c>
      <c r="J29" t="s">
        <v>1032</v>
      </c>
      <c r="K29">
        <v>29</v>
      </c>
      <c r="L29" t="s">
        <v>27</v>
      </c>
      <c r="M29">
        <f t="shared" si="0"/>
        <v>0</v>
      </c>
      <c r="O29" t="s">
        <v>28</v>
      </c>
      <c r="R29" t="s">
        <v>29</v>
      </c>
      <c r="W29" t="s">
        <v>30</v>
      </c>
      <c r="AA29" t="s">
        <v>31</v>
      </c>
      <c r="AJ29" t="s">
        <v>32</v>
      </c>
      <c r="AT29" t="s">
        <v>33</v>
      </c>
      <c r="AW29" t="s">
        <v>34</v>
      </c>
      <c r="BE29" t="s">
        <v>35</v>
      </c>
    </row>
    <row r="30" spans="1:63">
      <c r="A30" t="s">
        <v>36</v>
      </c>
      <c r="B30">
        <v>42</v>
      </c>
      <c r="C30">
        <v>60</v>
      </c>
      <c r="D30">
        <v>1</v>
      </c>
      <c r="E30">
        <v>67</v>
      </c>
      <c r="F30">
        <v>57</v>
      </c>
      <c r="G30">
        <v>-18</v>
      </c>
      <c r="H30">
        <v>-11</v>
      </c>
      <c r="I30">
        <v>-5</v>
      </c>
      <c r="J30" t="s">
        <v>1359</v>
      </c>
      <c r="K30">
        <v>30</v>
      </c>
      <c r="L30" t="s">
        <v>37</v>
      </c>
      <c r="M30">
        <f t="shared" si="0"/>
        <v>0</v>
      </c>
      <c r="O30" t="s">
        <v>38</v>
      </c>
      <c r="R30" t="s">
        <v>39</v>
      </c>
      <c r="W30" t="s">
        <v>40</v>
      </c>
      <c r="AA30" t="s">
        <v>2109</v>
      </c>
      <c r="AT30" t="s">
        <v>41</v>
      </c>
      <c r="AW30" t="s">
        <v>2167</v>
      </c>
      <c r="BE30" t="s">
        <v>42</v>
      </c>
    </row>
    <row r="31" spans="1:63">
      <c r="A31" t="s">
        <v>43</v>
      </c>
      <c r="B31">
        <v>61</v>
      </c>
      <c r="C31">
        <v>70</v>
      </c>
      <c r="D31">
        <v>-34</v>
      </c>
      <c r="E31">
        <v>61</v>
      </c>
      <c r="F31">
        <v>54</v>
      </c>
      <c r="G31">
        <v>-21</v>
      </c>
      <c r="H31">
        <v>-14</v>
      </c>
      <c r="I31">
        <v>-8</v>
      </c>
      <c r="J31" t="s">
        <v>1359</v>
      </c>
      <c r="K31">
        <v>31</v>
      </c>
      <c r="L31" t="s">
        <v>44</v>
      </c>
      <c r="M31">
        <f t="shared" si="0"/>
        <v>0</v>
      </c>
      <c r="O31" t="s">
        <v>45</v>
      </c>
      <c r="R31" t="s">
        <v>46</v>
      </c>
      <c r="W31" t="s">
        <v>47</v>
      </c>
      <c r="AA31" t="s">
        <v>48</v>
      </c>
      <c r="AT31" t="s">
        <v>1952</v>
      </c>
      <c r="AW31" t="s">
        <v>49</v>
      </c>
      <c r="BE31" t="s">
        <v>50</v>
      </c>
    </row>
    <row r="32" spans="1:63">
      <c r="A32" t="s">
        <v>51</v>
      </c>
      <c r="B32">
        <v>86</v>
      </c>
      <c r="C32">
        <v>59</v>
      </c>
      <c r="D32">
        <v>-13</v>
      </c>
      <c r="E32">
        <v>66</v>
      </c>
      <c r="F32">
        <v>56</v>
      </c>
      <c r="G32">
        <v>-21</v>
      </c>
      <c r="H32">
        <v>-14</v>
      </c>
      <c r="I32">
        <v>-8</v>
      </c>
      <c r="J32" t="s">
        <v>1359</v>
      </c>
      <c r="K32">
        <v>32</v>
      </c>
      <c r="L32" t="s">
        <v>52</v>
      </c>
      <c r="M32">
        <f t="shared" si="0"/>
        <v>0</v>
      </c>
      <c r="O32" t="s">
        <v>53</v>
      </c>
      <c r="R32" t="s">
        <v>54</v>
      </c>
      <c r="W32" t="s">
        <v>55</v>
      </c>
      <c r="AA32" t="s">
        <v>56</v>
      </c>
      <c r="AT32" t="s">
        <v>57</v>
      </c>
      <c r="AW32" t="s">
        <v>58</v>
      </c>
      <c r="BE32" t="s">
        <v>59</v>
      </c>
    </row>
    <row r="33" spans="1:57">
      <c r="A33" t="s">
        <v>60</v>
      </c>
      <c r="B33">
        <v>434</v>
      </c>
      <c r="C33">
        <v>64</v>
      </c>
      <c r="D33">
        <v>-41</v>
      </c>
      <c r="E33">
        <v>77</v>
      </c>
      <c r="F33">
        <v>59</v>
      </c>
      <c r="G33">
        <v>-26</v>
      </c>
      <c r="H33">
        <v>-19</v>
      </c>
      <c r="I33">
        <v>-13</v>
      </c>
      <c r="J33" t="s">
        <v>1359</v>
      </c>
      <c r="K33">
        <v>33</v>
      </c>
      <c r="L33" t="s">
        <v>61</v>
      </c>
      <c r="M33">
        <f t="shared" si="0"/>
        <v>0</v>
      </c>
      <c r="O33" t="s">
        <v>62</v>
      </c>
      <c r="R33" t="s">
        <v>63</v>
      </c>
      <c r="W33" t="s">
        <v>64</v>
      </c>
      <c r="AT33" t="s">
        <v>65</v>
      </c>
      <c r="AW33" t="s">
        <v>66</v>
      </c>
      <c r="BE33" t="s">
        <v>67</v>
      </c>
    </row>
    <row r="34" spans="1:57">
      <c r="A34" t="s">
        <v>68</v>
      </c>
      <c r="B34">
        <v>545</v>
      </c>
      <c r="C34">
        <v>64</v>
      </c>
      <c r="D34">
        <v>-31</v>
      </c>
      <c r="E34">
        <v>78</v>
      </c>
      <c r="F34">
        <v>60</v>
      </c>
      <c r="G34">
        <v>-23</v>
      </c>
      <c r="H34">
        <v>-16</v>
      </c>
      <c r="I34">
        <v>-10</v>
      </c>
      <c r="J34" t="s">
        <v>1359</v>
      </c>
      <c r="K34">
        <v>34</v>
      </c>
      <c r="L34" t="s">
        <v>69</v>
      </c>
      <c r="M34">
        <f t="shared" si="0"/>
        <v>0</v>
      </c>
      <c r="O34" t="s">
        <v>70</v>
      </c>
      <c r="R34" t="s">
        <v>71</v>
      </c>
      <c r="AT34" t="s">
        <v>72</v>
      </c>
      <c r="BE34" t="s">
        <v>73</v>
      </c>
    </row>
    <row r="35" spans="1:57">
      <c r="A35" t="s">
        <v>74</v>
      </c>
      <c r="B35">
        <v>152</v>
      </c>
      <c r="C35">
        <v>64</v>
      </c>
      <c r="D35">
        <v>-31</v>
      </c>
      <c r="E35">
        <v>74</v>
      </c>
      <c r="F35">
        <v>59</v>
      </c>
      <c r="G35">
        <v>-21</v>
      </c>
      <c r="H35">
        <v>-14</v>
      </c>
      <c r="I35">
        <v>-8</v>
      </c>
      <c r="J35" t="s">
        <v>1359</v>
      </c>
      <c r="K35">
        <v>35</v>
      </c>
      <c r="L35" t="s">
        <v>75</v>
      </c>
      <c r="M35">
        <f t="shared" si="0"/>
        <v>0</v>
      </c>
      <c r="O35" t="s">
        <v>76</v>
      </c>
      <c r="R35" t="s">
        <v>77</v>
      </c>
      <c r="AT35" t="s">
        <v>78</v>
      </c>
      <c r="BE35" t="s">
        <v>79</v>
      </c>
    </row>
    <row r="36" spans="1:57">
      <c r="A36" t="s">
        <v>80</v>
      </c>
      <c r="B36">
        <v>1579</v>
      </c>
      <c r="C36">
        <v>62</v>
      </c>
      <c r="D36">
        <v>-39</v>
      </c>
      <c r="E36">
        <v>73</v>
      </c>
      <c r="F36">
        <v>56</v>
      </c>
      <c r="G36">
        <v>-32</v>
      </c>
      <c r="H36">
        <v>-25</v>
      </c>
      <c r="I36">
        <v>-19</v>
      </c>
      <c r="J36" t="s">
        <v>1359</v>
      </c>
      <c r="K36">
        <v>36</v>
      </c>
      <c r="L36" t="s">
        <v>81</v>
      </c>
      <c r="M36">
        <f t="shared" si="0"/>
        <v>0</v>
      </c>
      <c r="O36" t="s">
        <v>82</v>
      </c>
      <c r="R36" t="s">
        <v>83</v>
      </c>
      <c r="AT36" t="s">
        <v>84</v>
      </c>
      <c r="BE36" t="s">
        <v>85</v>
      </c>
    </row>
    <row r="37" spans="1:57">
      <c r="A37" t="s">
        <v>86</v>
      </c>
      <c r="B37">
        <v>78</v>
      </c>
      <c r="C37">
        <v>59</v>
      </c>
      <c r="D37">
        <v>4</v>
      </c>
      <c r="E37">
        <v>62</v>
      </c>
      <c r="F37">
        <v>55</v>
      </c>
      <c r="G37">
        <v>-18</v>
      </c>
      <c r="H37">
        <v>-11</v>
      </c>
      <c r="I37">
        <v>-5</v>
      </c>
      <c r="J37" t="s">
        <v>1032</v>
      </c>
      <c r="K37">
        <v>37</v>
      </c>
      <c r="L37" t="s">
        <v>87</v>
      </c>
      <c r="M37">
        <f t="shared" si="0"/>
        <v>0</v>
      </c>
      <c r="R37" t="s">
        <v>88</v>
      </c>
      <c r="AT37" t="s">
        <v>89</v>
      </c>
      <c r="BE37" t="s">
        <v>90</v>
      </c>
    </row>
    <row r="38" spans="1:57">
      <c r="A38" t="s">
        <v>91</v>
      </c>
      <c r="B38">
        <v>19</v>
      </c>
      <c r="C38">
        <v>58</v>
      </c>
      <c r="D38">
        <v>7</v>
      </c>
      <c r="E38">
        <v>69</v>
      </c>
      <c r="F38">
        <v>58</v>
      </c>
      <c r="G38">
        <v>-17</v>
      </c>
      <c r="H38">
        <v>-10</v>
      </c>
      <c r="I38">
        <v>-4</v>
      </c>
      <c r="J38" t="s">
        <v>1032</v>
      </c>
      <c r="K38">
        <v>38</v>
      </c>
      <c r="L38" t="s">
        <v>92</v>
      </c>
      <c r="M38">
        <f t="shared" si="0"/>
        <v>0</v>
      </c>
      <c r="R38" t="s">
        <v>93</v>
      </c>
      <c r="AT38" t="s">
        <v>94</v>
      </c>
      <c r="BE38" t="s">
        <v>95</v>
      </c>
    </row>
    <row r="39" spans="1:57">
      <c r="A39" t="s">
        <v>96</v>
      </c>
      <c r="B39">
        <v>92</v>
      </c>
      <c r="C39">
        <v>60</v>
      </c>
      <c r="D39">
        <v>-14</v>
      </c>
      <c r="E39">
        <v>65</v>
      </c>
      <c r="F39">
        <v>55</v>
      </c>
      <c r="G39">
        <v>-23</v>
      </c>
      <c r="H39">
        <v>-16</v>
      </c>
      <c r="I39">
        <v>-10</v>
      </c>
      <c r="J39" t="s">
        <v>1359</v>
      </c>
      <c r="K39">
        <v>39</v>
      </c>
      <c r="L39" t="s">
        <v>97</v>
      </c>
      <c r="M39">
        <f t="shared" si="0"/>
        <v>0</v>
      </c>
      <c r="R39" t="s">
        <v>98</v>
      </c>
      <c r="BE39" t="s">
        <v>99</v>
      </c>
    </row>
    <row r="40" spans="1:57">
      <c r="A40" t="s">
        <v>100</v>
      </c>
      <c r="B40">
        <v>88</v>
      </c>
      <c r="C40">
        <v>55</v>
      </c>
      <c r="D40">
        <v>20</v>
      </c>
      <c r="E40">
        <v>68</v>
      </c>
      <c r="F40">
        <v>59</v>
      </c>
      <c r="G40">
        <v>-11</v>
      </c>
      <c r="H40">
        <v>-4</v>
      </c>
      <c r="I40">
        <v>2</v>
      </c>
      <c r="J40" t="s">
        <v>1032</v>
      </c>
      <c r="K40">
        <v>40</v>
      </c>
      <c r="L40" t="s">
        <v>101</v>
      </c>
      <c r="M40">
        <f t="shared" si="0"/>
        <v>0</v>
      </c>
      <c r="R40" t="s">
        <v>102</v>
      </c>
      <c r="BE40" t="s">
        <v>103</v>
      </c>
    </row>
    <row r="41" spans="1:57">
      <c r="A41" t="s">
        <v>104</v>
      </c>
      <c r="B41">
        <v>57</v>
      </c>
      <c r="C41">
        <v>58</v>
      </c>
      <c r="D41">
        <v>-19</v>
      </c>
      <c r="E41">
        <v>67</v>
      </c>
      <c r="F41">
        <v>56</v>
      </c>
      <c r="G41">
        <v>-22</v>
      </c>
      <c r="H41">
        <v>-15</v>
      </c>
      <c r="I41">
        <v>-9</v>
      </c>
      <c r="J41" t="s">
        <v>1359</v>
      </c>
      <c r="K41">
        <v>41</v>
      </c>
      <c r="L41" t="s">
        <v>105</v>
      </c>
      <c r="M41">
        <f t="shared" si="0"/>
        <v>0</v>
      </c>
      <c r="R41" t="s">
        <v>106</v>
      </c>
      <c r="BE41" t="s">
        <v>107</v>
      </c>
    </row>
    <row r="42" spans="1:57">
      <c r="A42" t="s">
        <v>108</v>
      </c>
      <c r="B42">
        <v>73</v>
      </c>
      <c r="C42">
        <v>57</v>
      </c>
      <c r="D42">
        <v>12</v>
      </c>
      <c r="E42">
        <v>65</v>
      </c>
      <c r="F42">
        <v>56</v>
      </c>
      <c r="G42">
        <v>-19</v>
      </c>
      <c r="H42">
        <v>-12</v>
      </c>
      <c r="I42">
        <v>-6</v>
      </c>
      <c r="J42" t="s">
        <v>1032</v>
      </c>
      <c r="K42">
        <v>42</v>
      </c>
      <c r="L42" t="s">
        <v>109</v>
      </c>
      <c r="M42">
        <f t="shared" si="0"/>
        <v>0</v>
      </c>
      <c r="R42" t="s">
        <v>110</v>
      </c>
      <c r="BE42" t="s">
        <v>111</v>
      </c>
    </row>
    <row r="43" spans="1:57">
      <c r="A43" t="s">
        <v>112</v>
      </c>
      <c r="B43">
        <v>11</v>
      </c>
      <c r="C43">
        <v>66</v>
      </c>
      <c r="D43">
        <v>-31</v>
      </c>
      <c r="E43">
        <v>64</v>
      </c>
      <c r="F43">
        <v>58</v>
      </c>
      <c r="G43">
        <v>-9</v>
      </c>
      <c r="H43">
        <v>-2</v>
      </c>
      <c r="I43">
        <v>4</v>
      </c>
      <c r="J43" t="s">
        <v>1032</v>
      </c>
      <c r="K43">
        <v>43</v>
      </c>
      <c r="L43" t="s">
        <v>113</v>
      </c>
      <c r="M43">
        <f t="shared" si="0"/>
        <v>0</v>
      </c>
      <c r="R43" t="s">
        <v>114</v>
      </c>
      <c r="BE43" t="s">
        <v>115</v>
      </c>
    </row>
    <row r="44" spans="1:57">
      <c r="A44" t="s">
        <v>116</v>
      </c>
      <c r="B44">
        <v>337</v>
      </c>
      <c r="C44">
        <v>62</v>
      </c>
      <c r="D44">
        <v>-42</v>
      </c>
      <c r="E44">
        <v>73</v>
      </c>
      <c r="F44">
        <v>58</v>
      </c>
      <c r="G44">
        <v>-23</v>
      </c>
      <c r="H44">
        <v>-16</v>
      </c>
      <c r="I44">
        <v>-10</v>
      </c>
      <c r="J44" t="s">
        <v>1359</v>
      </c>
      <c r="K44">
        <v>44</v>
      </c>
      <c r="L44" t="s">
        <v>117</v>
      </c>
      <c r="M44">
        <f t="shared" si="0"/>
        <v>0</v>
      </c>
      <c r="R44" t="s">
        <v>118</v>
      </c>
      <c r="BE44" t="s">
        <v>119</v>
      </c>
    </row>
    <row r="45" spans="1:57">
      <c r="A45" t="s">
        <v>120</v>
      </c>
      <c r="B45">
        <v>87</v>
      </c>
      <c r="C45">
        <v>59</v>
      </c>
      <c r="D45">
        <v>21</v>
      </c>
      <c r="E45">
        <v>60</v>
      </c>
      <c r="F45">
        <v>51</v>
      </c>
      <c r="G45">
        <v>-31</v>
      </c>
      <c r="H45">
        <v>-24</v>
      </c>
      <c r="I45">
        <v>-18</v>
      </c>
      <c r="J45" t="s">
        <v>1032</v>
      </c>
      <c r="K45">
        <v>45</v>
      </c>
      <c r="L45" t="s">
        <v>121</v>
      </c>
      <c r="M45">
        <f t="shared" si="0"/>
        <v>0</v>
      </c>
      <c r="R45" t="s">
        <v>122</v>
      </c>
      <c r="BE45" t="s">
        <v>123</v>
      </c>
    </row>
    <row r="46" spans="1:57">
      <c r="A46" t="s">
        <v>124</v>
      </c>
      <c r="B46">
        <v>362</v>
      </c>
      <c r="C46">
        <v>64</v>
      </c>
      <c r="D46">
        <v>-44</v>
      </c>
      <c r="E46">
        <v>76</v>
      </c>
      <c r="F46">
        <v>59</v>
      </c>
      <c r="G46">
        <v>-24</v>
      </c>
      <c r="H46">
        <v>-17</v>
      </c>
      <c r="I46">
        <v>-11</v>
      </c>
      <c r="J46" t="s">
        <v>1359</v>
      </c>
      <c r="K46">
        <v>46</v>
      </c>
      <c r="L46" t="s">
        <v>125</v>
      </c>
      <c r="M46">
        <f t="shared" si="0"/>
        <v>0</v>
      </c>
      <c r="R46" t="s">
        <v>126</v>
      </c>
      <c r="BE46" t="s">
        <v>127</v>
      </c>
    </row>
    <row r="47" spans="1:57">
      <c r="A47" t="s">
        <v>128</v>
      </c>
      <c r="B47">
        <v>37</v>
      </c>
      <c r="C47">
        <v>64</v>
      </c>
      <c r="D47">
        <v>-26</v>
      </c>
      <c r="E47">
        <v>65</v>
      </c>
      <c r="F47">
        <v>55</v>
      </c>
      <c r="G47">
        <v>-23</v>
      </c>
      <c r="H47">
        <v>-16</v>
      </c>
      <c r="I47">
        <v>-10</v>
      </c>
      <c r="J47" t="s">
        <v>1032</v>
      </c>
      <c r="K47">
        <v>47</v>
      </c>
      <c r="L47" t="s">
        <v>129</v>
      </c>
      <c r="M47">
        <f t="shared" si="0"/>
        <v>0</v>
      </c>
      <c r="R47" t="s">
        <v>130</v>
      </c>
      <c r="BE47" t="s">
        <v>131</v>
      </c>
    </row>
    <row r="48" spans="1:57">
      <c r="A48" t="s">
        <v>132</v>
      </c>
      <c r="B48">
        <v>1716</v>
      </c>
      <c r="C48">
        <v>62</v>
      </c>
      <c r="D48">
        <v>-32</v>
      </c>
      <c r="E48">
        <v>74</v>
      </c>
      <c r="F48">
        <v>57</v>
      </c>
      <c r="G48">
        <v>-29</v>
      </c>
      <c r="H48">
        <v>-22</v>
      </c>
      <c r="I48">
        <v>-16</v>
      </c>
      <c r="J48" t="s">
        <v>1359</v>
      </c>
      <c r="K48">
        <v>48</v>
      </c>
      <c r="L48" t="s">
        <v>133</v>
      </c>
      <c r="M48">
        <f t="shared" si="0"/>
        <v>0</v>
      </c>
      <c r="R48" t="s">
        <v>134</v>
      </c>
      <c r="BE48" t="s">
        <v>135</v>
      </c>
    </row>
    <row r="49" spans="1:57">
      <c r="A49" t="s">
        <v>136</v>
      </c>
      <c r="B49">
        <v>105</v>
      </c>
      <c r="C49">
        <v>56</v>
      </c>
      <c r="D49">
        <v>-2</v>
      </c>
      <c r="E49">
        <v>61</v>
      </c>
      <c r="F49">
        <v>52</v>
      </c>
      <c r="G49">
        <v>-29</v>
      </c>
      <c r="H49">
        <v>-22</v>
      </c>
      <c r="I49">
        <v>-16</v>
      </c>
      <c r="J49" t="s">
        <v>1032</v>
      </c>
      <c r="K49">
        <v>49</v>
      </c>
      <c r="L49" t="s">
        <v>137</v>
      </c>
      <c r="M49">
        <f t="shared" si="0"/>
        <v>0</v>
      </c>
      <c r="R49" t="s">
        <v>138</v>
      </c>
      <c r="BE49" t="s">
        <v>139</v>
      </c>
    </row>
    <row r="50" spans="1:57">
      <c r="A50" t="s">
        <v>140</v>
      </c>
      <c r="B50">
        <v>63</v>
      </c>
      <c r="C50">
        <v>57</v>
      </c>
      <c r="D50">
        <v>3</v>
      </c>
      <c r="E50">
        <v>52</v>
      </c>
      <c r="F50">
        <v>50</v>
      </c>
      <c r="G50">
        <v>-22</v>
      </c>
      <c r="H50">
        <v>-15</v>
      </c>
      <c r="I50">
        <v>-9</v>
      </c>
      <c r="J50" t="s">
        <v>1032</v>
      </c>
      <c r="K50">
        <v>50</v>
      </c>
      <c r="L50" t="s">
        <v>141</v>
      </c>
      <c r="M50">
        <f t="shared" si="0"/>
        <v>0</v>
      </c>
      <c r="R50" t="s">
        <v>142</v>
      </c>
      <c r="BE50" t="s">
        <v>143</v>
      </c>
    </row>
    <row r="51" spans="1:57">
      <c r="A51" t="s">
        <v>144</v>
      </c>
      <c r="B51">
        <v>21</v>
      </c>
      <c r="C51">
        <v>57</v>
      </c>
      <c r="D51">
        <v>21</v>
      </c>
      <c r="E51">
        <v>64</v>
      </c>
      <c r="F51">
        <v>58</v>
      </c>
      <c r="G51">
        <v>-9</v>
      </c>
      <c r="H51">
        <v>-2</v>
      </c>
      <c r="I51">
        <v>4</v>
      </c>
      <c r="J51" t="s">
        <v>1032</v>
      </c>
      <c r="K51">
        <v>51</v>
      </c>
      <c r="L51" t="s">
        <v>145</v>
      </c>
      <c r="M51">
        <f t="shared" si="0"/>
        <v>0</v>
      </c>
      <c r="R51" t="s">
        <v>146</v>
      </c>
      <c r="BE51" t="s">
        <v>147</v>
      </c>
    </row>
    <row r="52" spans="1:57">
      <c r="A52" t="s">
        <v>148</v>
      </c>
      <c r="B52">
        <v>358</v>
      </c>
      <c r="C52">
        <v>62</v>
      </c>
      <c r="D52">
        <v>-21</v>
      </c>
      <c r="E52">
        <v>73</v>
      </c>
      <c r="F52">
        <v>58</v>
      </c>
      <c r="G52">
        <v>-23</v>
      </c>
      <c r="H52">
        <v>-16</v>
      </c>
      <c r="I52">
        <v>-10</v>
      </c>
      <c r="J52" t="s">
        <v>1359</v>
      </c>
      <c r="K52">
        <v>52</v>
      </c>
      <c r="M52">
        <f t="shared" si="0"/>
        <v>0</v>
      </c>
      <c r="R52" t="s">
        <v>149</v>
      </c>
      <c r="BE52" t="s">
        <v>150</v>
      </c>
    </row>
    <row r="53" spans="1:57">
      <c r="A53" t="s">
        <v>151</v>
      </c>
      <c r="B53">
        <v>120</v>
      </c>
      <c r="C53">
        <v>61</v>
      </c>
      <c r="D53">
        <v>7</v>
      </c>
      <c r="E53">
        <v>66</v>
      </c>
      <c r="F53">
        <v>55</v>
      </c>
      <c r="G53">
        <v>-25</v>
      </c>
      <c r="H53">
        <v>-18</v>
      </c>
      <c r="I53">
        <v>-12</v>
      </c>
      <c r="J53" t="s">
        <v>1032</v>
      </c>
      <c r="K53">
        <v>53</v>
      </c>
      <c r="M53">
        <f t="shared" si="0"/>
        <v>0</v>
      </c>
      <c r="R53" t="s">
        <v>152</v>
      </c>
      <c r="BE53" t="s">
        <v>153</v>
      </c>
    </row>
    <row r="54" spans="1:57">
      <c r="A54" t="s">
        <v>154</v>
      </c>
      <c r="B54">
        <v>33</v>
      </c>
      <c r="C54">
        <v>59</v>
      </c>
      <c r="D54">
        <v>2</v>
      </c>
      <c r="E54">
        <v>63</v>
      </c>
      <c r="F54">
        <v>55</v>
      </c>
      <c r="G54">
        <v>-20</v>
      </c>
      <c r="H54">
        <v>-13</v>
      </c>
      <c r="I54">
        <v>-7</v>
      </c>
      <c r="J54" t="s">
        <v>1032</v>
      </c>
      <c r="K54">
        <v>54</v>
      </c>
      <c r="M54">
        <f t="shared" si="0"/>
        <v>0</v>
      </c>
      <c r="R54" t="s">
        <v>155</v>
      </c>
      <c r="BE54" t="s">
        <v>156</v>
      </c>
    </row>
    <row r="55" spans="1:57">
      <c r="A55" t="s">
        <v>157</v>
      </c>
      <c r="B55">
        <v>4173</v>
      </c>
      <c r="C55">
        <v>31</v>
      </c>
      <c r="D55">
        <v>31</v>
      </c>
      <c r="E55">
        <v>95</v>
      </c>
      <c r="F55">
        <v>63</v>
      </c>
      <c r="G55">
        <v>-34</v>
      </c>
      <c r="H55">
        <v>-27</v>
      </c>
      <c r="I55">
        <v>-21</v>
      </c>
      <c r="J55" t="s">
        <v>1033</v>
      </c>
      <c r="K55">
        <v>55</v>
      </c>
      <c r="M55">
        <f t="shared" si="0"/>
        <v>0</v>
      </c>
      <c r="R55" t="s">
        <v>158</v>
      </c>
      <c r="BE55" t="s">
        <v>159</v>
      </c>
    </row>
    <row r="56" spans="1:57">
      <c r="A56" t="s">
        <v>160</v>
      </c>
      <c r="B56">
        <v>7011</v>
      </c>
      <c r="C56">
        <v>35</v>
      </c>
      <c r="D56">
        <v>8</v>
      </c>
      <c r="E56">
        <v>93</v>
      </c>
      <c r="F56">
        <v>55</v>
      </c>
      <c r="G56">
        <v>-54</v>
      </c>
      <c r="H56">
        <v>-47</v>
      </c>
      <c r="I56">
        <v>-41</v>
      </c>
      <c r="J56" t="s">
        <v>1033</v>
      </c>
      <c r="K56">
        <v>56</v>
      </c>
      <c r="M56">
        <f t="shared" si="0"/>
        <v>0</v>
      </c>
      <c r="R56" t="s">
        <v>161</v>
      </c>
      <c r="BE56" t="s">
        <v>162</v>
      </c>
    </row>
    <row r="57" spans="1:57">
      <c r="A57" t="s">
        <v>163</v>
      </c>
      <c r="B57">
        <v>4716</v>
      </c>
      <c r="C57">
        <v>31</v>
      </c>
      <c r="D57">
        <v>28</v>
      </c>
      <c r="E57">
        <v>92</v>
      </c>
      <c r="F57">
        <v>62</v>
      </c>
      <c r="G57">
        <v>-34</v>
      </c>
      <c r="H57">
        <v>-27</v>
      </c>
      <c r="I57">
        <v>-21</v>
      </c>
      <c r="J57" t="s">
        <v>1033</v>
      </c>
      <c r="K57">
        <v>57</v>
      </c>
      <c r="M57">
        <f t="shared" si="0"/>
        <v>0</v>
      </c>
      <c r="R57" t="s">
        <v>164</v>
      </c>
      <c r="BE57" t="s">
        <v>165</v>
      </c>
    </row>
    <row r="58" spans="1:57">
      <c r="A58" t="s">
        <v>166</v>
      </c>
      <c r="B58">
        <v>3446</v>
      </c>
      <c r="C58">
        <v>35</v>
      </c>
      <c r="D58">
        <v>27</v>
      </c>
      <c r="E58">
        <v>97</v>
      </c>
      <c r="F58">
        <v>63</v>
      </c>
      <c r="G58">
        <v>-38</v>
      </c>
      <c r="H58">
        <v>-31</v>
      </c>
      <c r="I58">
        <v>-25</v>
      </c>
      <c r="J58" t="s">
        <v>1033</v>
      </c>
      <c r="K58">
        <v>58</v>
      </c>
      <c r="M58">
        <f t="shared" si="0"/>
        <v>0</v>
      </c>
      <c r="R58" t="s">
        <v>167</v>
      </c>
      <c r="BE58" t="s">
        <v>168</v>
      </c>
    </row>
    <row r="59" spans="1:57">
      <c r="A59" t="s">
        <v>169</v>
      </c>
      <c r="B59">
        <v>3932</v>
      </c>
      <c r="C59">
        <v>31</v>
      </c>
      <c r="D59">
        <v>32</v>
      </c>
      <c r="E59">
        <v>96</v>
      </c>
      <c r="F59">
        <v>64</v>
      </c>
      <c r="G59">
        <v>-32</v>
      </c>
      <c r="H59">
        <v>-25</v>
      </c>
      <c r="I59">
        <v>-19</v>
      </c>
      <c r="J59" t="s">
        <v>1033</v>
      </c>
      <c r="K59">
        <v>59</v>
      </c>
      <c r="M59">
        <f t="shared" si="0"/>
        <v>0</v>
      </c>
      <c r="R59" t="s">
        <v>170</v>
      </c>
      <c r="BE59" t="s">
        <v>171</v>
      </c>
    </row>
    <row r="60" spans="1:57">
      <c r="A60" t="s">
        <v>172</v>
      </c>
      <c r="B60">
        <v>4310</v>
      </c>
      <c r="C60">
        <v>36</v>
      </c>
      <c r="D60">
        <v>24</v>
      </c>
      <c r="E60">
        <v>97</v>
      </c>
      <c r="F60">
        <v>62</v>
      </c>
      <c r="G60">
        <v>-43</v>
      </c>
      <c r="H60">
        <v>-36</v>
      </c>
      <c r="I60">
        <v>-30</v>
      </c>
      <c r="J60" t="s">
        <v>1033</v>
      </c>
      <c r="K60">
        <v>60</v>
      </c>
      <c r="M60">
        <f t="shared" si="0"/>
        <v>0</v>
      </c>
      <c r="R60" t="s">
        <v>173</v>
      </c>
    </row>
    <row r="61" spans="1:57">
      <c r="A61" t="s">
        <v>174</v>
      </c>
      <c r="B61">
        <v>1133</v>
      </c>
      <c r="C61">
        <v>33</v>
      </c>
      <c r="D61">
        <v>37</v>
      </c>
      <c r="E61">
        <v>108</v>
      </c>
      <c r="F61">
        <v>70</v>
      </c>
      <c r="G61">
        <v>-21</v>
      </c>
      <c r="H61">
        <v>-14</v>
      </c>
      <c r="I61">
        <v>-8</v>
      </c>
      <c r="J61" t="s">
        <v>1033</v>
      </c>
      <c r="K61">
        <v>61</v>
      </c>
      <c r="M61">
        <f t="shared" si="0"/>
        <v>0</v>
      </c>
      <c r="R61" t="s">
        <v>175</v>
      </c>
    </row>
    <row r="62" spans="1:57">
      <c r="A62" t="s">
        <v>176</v>
      </c>
      <c r="B62">
        <v>1101</v>
      </c>
      <c r="C62">
        <v>33</v>
      </c>
      <c r="D62">
        <v>38</v>
      </c>
      <c r="E62">
        <v>107</v>
      </c>
      <c r="F62">
        <v>71</v>
      </c>
      <c r="G62">
        <v>-14</v>
      </c>
      <c r="H62">
        <v>-7</v>
      </c>
      <c r="I62">
        <v>-1</v>
      </c>
      <c r="J62" t="s">
        <v>1033</v>
      </c>
      <c r="K62">
        <v>62</v>
      </c>
      <c r="M62">
        <f t="shared" si="0"/>
        <v>0</v>
      </c>
      <c r="R62" t="s">
        <v>177</v>
      </c>
    </row>
    <row r="63" spans="1:57">
      <c r="A63" t="s">
        <v>178</v>
      </c>
      <c r="B63">
        <v>5042</v>
      </c>
      <c r="C63">
        <v>34</v>
      </c>
      <c r="D63">
        <v>20</v>
      </c>
      <c r="E63">
        <v>91</v>
      </c>
      <c r="F63">
        <v>60</v>
      </c>
      <c r="G63">
        <v>-42</v>
      </c>
      <c r="H63">
        <v>-35</v>
      </c>
      <c r="I63">
        <v>-29</v>
      </c>
      <c r="J63" t="s">
        <v>1033</v>
      </c>
      <c r="K63">
        <v>63</v>
      </c>
      <c r="M63">
        <f t="shared" si="0"/>
        <v>0</v>
      </c>
      <c r="R63" t="s">
        <v>179</v>
      </c>
    </row>
    <row r="64" spans="1:57">
      <c r="A64" t="s">
        <v>180</v>
      </c>
      <c r="B64">
        <v>3176</v>
      </c>
      <c r="C64">
        <v>32</v>
      </c>
      <c r="D64">
        <v>26</v>
      </c>
      <c r="E64">
        <v>99</v>
      </c>
      <c r="F64">
        <v>66</v>
      </c>
      <c r="G64">
        <v>-25</v>
      </c>
      <c r="H64">
        <v>-18</v>
      </c>
      <c r="I64">
        <v>-12</v>
      </c>
      <c r="J64" t="s">
        <v>1033</v>
      </c>
      <c r="K64">
        <v>64</v>
      </c>
      <c r="M64">
        <f t="shared" si="0"/>
        <v>0</v>
      </c>
      <c r="R64" t="s">
        <v>181</v>
      </c>
    </row>
    <row r="65" spans="1:19">
      <c r="A65" t="s">
        <v>182</v>
      </c>
      <c r="B65">
        <v>2641</v>
      </c>
      <c r="C65">
        <v>32</v>
      </c>
      <c r="D65">
        <v>24</v>
      </c>
      <c r="E65">
        <v>102</v>
      </c>
      <c r="F65">
        <v>65</v>
      </c>
      <c r="G65">
        <v>-39</v>
      </c>
      <c r="H65">
        <v>-30</v>
      </c>
      <c r="I65">
        <v>-24</v>
      </c>
      <c r="J65" t="s">
        <v>1033</v>
      </c>
      <c r="K65">
        <v>65</v>
      </c>
      <c r="M65">
        <f t="shared" si="0"/>
        <v>0</v>
      </c>
      <c r="R65" t="s">
        <v>183</v>
      </c>
    </row>
    <row r="66" spans="1:19">
      <c r="A66" t="s">
        <v>184</v>
      </c>
      <c r="B66">
        <v>4938</v>
      </c>
      <c r="C66">
        <v>35</v>
      </c>
      <c r="D66">
        <v>14</v>
      </c>
      <c r="E66">
        <v>93</v>
      </c>
      <c r="F66">
        <v>60</v>
      </c>
      <c r="G66">
        <v>-46</v>
      </c>
      <c r="H66">
        <v>-39</v>
      </c>
      <c r="I66">
        <v>-33</v>
      </c>
      <c r="J66" t="s">
        <v>1033</v>
      </c>
      <c r="K66">
        <v>66</v>
      </c>
      <c r="M66">
        <f t="shared" si="0"/>
        <v>0</v>
      </c>
      <c r="R66" t="s">
        <v>185</v>
      </c>
    </row>
    <row r="67" spans="1:19">
      <c r="A67" t="s">
        <v>186</v>
      </c>
      <c r="B67">
        <v>213</v>
      </c>
      <c r="C67">
        <v>32</v>
      </c>
      <c r="D67">
        <v>44</v>
      </c>
      <c r="E67">
        <v>109</v>
      </c>
      <c r="F67">
        <v>72</v>
      </c>
      <c r="G67">
        <v>-15</v>
      </c>
      <c r="H67">
        <v>-8</v>
      </c>
      <c r="I67">
        <v>-2</v>
      </c>
      <c r="J67" t="s">
        <v>1033</v>
      </c>
      <c r="K67">
        <v>67</v>
      </c>
      <c r="M67">
        <f t="shared" si="0"/>
        <v>0</v>
      </c>
      <c r="R67" t="s">
        <v>187</v>
      </c>
    </row>
    <row r="68" spans="1:19">
      <c r="A68" t="s">
        <v>188</v>
      </c>
      <c r="B68">
        <v>264</v>
      </c>
      <c r="C68">
        <v>36</v>
      </c>
      <c r="D68">
        <v>18</v>
      </c>
      <c r="E68">
        <v>95</v>
      </c>
      <c r="F68">
        <v>77</v>
      </c>
      <c r="G68">
        <v>42</v>
      </c>
      <c r="H68">
        <v>49</v>
      </c>
      <c r="I68">
        <v>55</v>
      </c>
      <c r="J68" t="s">
        <v>1359</v>
      </c>
      <c r="K68">
        <v>68</v>
      </c>
      <c r="M68">
        <f t="shared" si="0"/>
        <v>0</v>
      </c>
      <c r="R68" t="s">
        <v>189</v>
      </c>
    </row>
    <row r="69" spans="1:19">
      <c r="A69" t="s">
        <v>190</v>
      </c>
      <c r="B69">
        <v>130</v>
      </c>
      <c r="C69">
        <v>33</v>
      </c>
      <c r="D69">
        <v>23</v>
      </c>
      <c r="E69">
        <v>96</v>
      </c>
      <c r="F69">
        <v>76</v>
      </c>
      <c r="G69">
        <v>34</v>
      </c>
      <c r="H69">
        <v>41</v>
      </c>
      <c r="I69">
        <v>47</v>
      </c>
      <c r="J69" t="s">
        <v>1359</v>
      </c>
      <c r="K69">
        <v>69</v>
      </c>
      <c r="M69">
        <f t="shared" ref="M69:N74" si="1">HLOOKUP($M$1,$N$1:$BL$74,K69)</f>
        <v>0</v>
      </c>
      <c r="R69" t="s">
        <v>191</v>
      </c>
    </row>
    <row r="70" spans="1:19">
      <c r="A70" t="s">
        <v>192</v>
      </c>
      <c r="B70">
        <v>277</v>
      </c>
      <c r="C70">
        <v>33</v>
      </c>
      <c r="D70">
        <v>23</v>
      </c>
      <c r="E70">
        <v>96</v>
      </c>
      <c r="F70">
        <v>76</v>
      </c>
      <c r="G70">
        <v>34</v>
      </c>
      <c r="H70">
        <v>41</v>
      </c>
      <c r="I70">
        <v>47</v>
      </c>
      <c r="J70" t="s">
        <v>1359</v>
      </c>
      <c r="K70">
        <v>70</v>
      </c>
      <c r="M70">
        <f t="shared" si="1"/>
        <v>0</v>
      </c>
      <c r="R70" t="s">
        <v>193</v>
      </c>
    </row>
    <row r="71" spans="1:19">
      <c r="A71" t="s">
        <v>194</v>
      </c>
      <c r="B71">
        <v>1251</v>
      </c>
      <c r="C71">
        <v>36</v>
      </c>
      <c r="D71">
        <v>13</v>
      </c>
      <c r="E71">
        <v>93</v>
      </c>
      <c r="F71">
        <v>75</v>
      </c>
      <c r="G71">
        <v>33</v>
      </c>
      <c r="H71">
        <v>40</v>
      </c>
      <c r="I71">
        <v>46</v>
      </c>
      <c r="J71" t="s">
        <v>1359</v>
      </c>
      <c r="K71">
        <v>71</v>
      </c>
      <c r="M71">
        <f t="shared" si="1"/>
        <v>0</v>
      </c>
      <c r="R71" t="s">
        <v>195</v>
      </c>
    </row>
    <row r="72" spans="1:19">
      <c r="A72" t="s">
        <v>196</v>
      </c>
      <c r="B72">
        <v>469</v>
      </c>
      <c r="C72">
        <v>35</v>
      </c>
      <c r="D72">
        <v>19</v>
      </c>
      <c r="E72">
        <v>96</v>
      </c>
      <c r="F72">
        <v>76</v>
      </c>
      <c r="G72">
        <v>34</v>
      </c>
      <c r="H72">
        <v>41</v>
      </c>
      <c r="I72">
        <v>47</v>
      </c>
      <c r="J72" t="s">
        <v>1359</v>
      </c>
      <c r="K72">
        <v>72</v>
      </c>
      <c r="M72">
        <f t="shared" si="1"/>
        <v>0</v>
      </c>
      <c r="R72" t="s">
        <v>197</v>
      </c>
    </row>
    <row r="73" spans="1:19">
      <c r="A73" t="s">
        <v>198</v>
      </c>
      <c r="B73">
        <v>540</v>
      </c>
      <c r="C73">
        <v>34</v>
      </c>
      <c r="D73">
        <v>23</v>
      </c>
      <c r="E73">
        <v>97</v>
      </c>
      <c r="F73">
        <v>77</v>
      </c>
      <c r="G73">
        <v>39</v>
      </c>
      <c r="H73">
        <v>46</v>
      </c>
      <c r="I73">
        <v>52</v>
      </c>
      <c r="J73" t="s">
        <v>1359</v>
      </c>
      <c r="K73">
        <v>73</v>
      </c>
      <c r="M73">
        <f t="shared" si="1"/>
        <v>0</v>
      </c>
      <c r="R73" t="s">
        <v>199</v>
      </c>
    </row>
    <row r="74" spans="1:19">
      <c r="A74" t="s">
        <v>2771</v>
      </c>
      <c r="B74">
        <v>262</v>
      </c>
      <c r="C74">
        <v>35</v>
      </c>
      <c r="D74">
        <v>15</v>
      </c>
      <c r="E74">
        <v>94</v>
      </c>
      <c r="F74">
        <v>77</v>
      </c>
      <c r="G74">
        <v>44</v>
      </c>
      <c r="H74">
        <v>51</v>
      </c>
      <c r="I74">
        <v>57</v>
      </c>
      <c r="J74" t="s">
        <v>1359</v>
      </c>
      <c r="L74">
        <v>74</v>
      </c>
      <c r="M74" s="190"/>
      <c r="N74">
        <f t="shared" si="1"/>
        <v>0</v>
      </c>
      <c r="S74" t="s">
        <v>200</v>
      </c>
    </row>
    <row r="75" spans="1:19">
      <c r="A75" t="s">
        <v>201</v>
      </c>
      <c r="B75">
        <v>260</v>
      </c>
      <c r="C75">
        <v>34</v>
      </c>
      <c r="D75">
        <v>21</v>
      </c>
      <c r="E75">
        <v>95</v>
      </c>
      <c r="F75">
        <v>77</v>
      </c>
      <c r="G75">
        <v>42</v>
      </c>
      <c r="H75">
        <v>49</v>
      </c>
      <c r="I75">
        <v>55</v>
      </c>
      <c r="J75" t="s">
        <v>1359</v>
      </c>
    </row>
    <row r="76" spans="1:19">
      <c r="A76" t="s">
        <v>202</v>
      </c>
      <c r="B76">
        <v>206</v>
      </c>
      <c r="C76">
        <v>34</v>
      </c>
      <c r="D76">
        <v>22</v>
      </c>
      <c r="E76">
        <v>97</v>
      </c>
      <c r="F76">
        <v>77</v>
      </c>
      <c r="G76">
        <v>39</v>
      </c>
      <c r="H76">
        <v>46</v>
      </c>
      <c r="I76">
        <v>52</v>
      </c>
      <c r="J76" t="s">
        <v>1359</v>
      </c>
    </row>
    <row r="77" spans="1:19">
      <c r="A77" t="s">
        <v>203</v>
      </c>
      <c r="B77">
        <v>389</v>
      </c>
      <c r="C77">
        <v>33</v>
      </c>
      <c r="D77">
        <v>25</v>
      </c>
      <c r="E77">
        <v>95</v>
      </c>
      <c r="F77">
        <v>77</v>
      </c>
      <c r="G77">
        <v>42</v>
      </c>
      <c r="H77">
        <v>49</v>
      </c>
      <c r="I77">
        <v>55</v>
      </c>
      <c r="J77" t="s">
        <v>1359</v>
      </c>
    </row>
    <row r="78" spans="1:19">
      <c r="A78" t="s">
        <v>204</v>
      </c>
      <c r="B78">
        <v>15</v>
      </c>
      <c r="C78">
        <v>37</v>
      </c>
      <c r="D78">
        <v>42</v>
      </c>
      <c r="E78">
        <v>79</v>
      </c>
      <c r="F78">
        <v>64</v>
      </c>
      <c r="G78">
        <v>-6</v>
      </c>
      <c r="H78">
        <v>1</v>
      </c>
      <c r="I78">
        <v>7</v>
      </c>
      <c r="J78" t="s">
        <v>1359</v>
      </c>
    </row>
    <row r="79" spans="1:19">
      <c r="A79" t="s">
        <v>205</v>
      </c>
      <c r="B79">
        <v>507</v>
      </c>
      <c r="C79">
        <v>35</v>
      </c>
      <c r="D79">
        <v>35</v>
      </c>
      <c r="E79">
        <v>101</v>
      </c>
      <c r="F79">
        <v>69</v>
      </c>
      <c r="G79">
        <v>-15</v>
      </c>
      <c r="H79">
        <v>-8</v>
      </c>
      <c r="I79">
        <v>-2</v>
      </c>
      <c r="J79" t="s">
        <v>1033</v>
      </c>
    </row>
    <row r="80" spans="1:19">
      <c r="A80" t="s">
        <v>206</v>
      </c>
      <c r="B80">
        <v>1927</v>
      </c>
      <c r="C80">
        <v>34</v>
      </c>
      <c r="D80">
        <v>32</v>
      </c>
      <c r="E80">
        <v>105</v>
      </c>
      <c r="F80">
        <v>67</v>
      </c>
      <c r="G80">
        <v>-32</v>
      </c>
      <c r="H80">
        <v>-25</v>
      </c>
      <c r="I80">
        <v>-19</v>
      </c>
      <c r="J80" t="s">
        <v>1033</v>
      </c>
    </row>
    <row r="81" spans="1:10">
      <c r="A81" t="s">
        <v>207</v>
      </c>
      <c r="B81">
        <v>5280</v>
      </c>
      <c r="C81">
        <v>39</v>
      </c>
      <c r="D81">
        <v>24</v>
      </c>
      <c r="E81">
        <v>81</v>
      </c>
      <c r="F81">
        <v>57</v>
      </c>
      <c r="G81">
        <v>-41</v>
      </c>
      <c r="H81">
        <v>-34</v>
      </c>
      <c r="I81">
        <v>-28</v>
      </c>
      <c r="J81" t="s">
        <v>1359</v>
      </c>
    </row>
    <row r="82" spans="1:10">
      <c r="A82" t="s">
        <v>208</v>
      </c>
      <c r="B82">
        <v>397</v>
      </c>
      <c r="C82">
        <v>33</v>
      </c>
      <c r="D82">
        <v>33</v>
      </c>
      <c r="E82">
        <v>110</v>
      </c>
      <c r="F82">
        <v>71</v>
      </c>
      <c r="G82">
        <v>-18</v>
      </c>
      <c r="H82">
        <v>-11</v>
      </c>
      <c r="I82">
        <v>-5</v>
      </c>
      <c r="J82" t="s">
        <v>1033</v>
      </c>
    </row>
    <row r="83" spans="1:10">
      <c r="A83" t="s">
        <v>209</v>
      </c>
      <c r="B83">
        <v>775</v>
      </c>
      <c r="C83">
        <v>34</v>
      </c>
      <c r="D83">
        <v>41</v>
      </c>
      <c r="E83">
        <v>95</v>
      </c>
      <c r="F83">
        <v>69</v>
      </c>
      <c r="G83">
        <v>-6</v>
      </c>
      <c r="H83">
        <v>1</v>
      </c>
      <c r="I83">
        <v>7</v>
      </c>
      <c r="J83" t="s">
        <v>1359</v>
      </c>
    </row>
    <row r="84" spans="1:10">
      <c r="A84" t="s">
        <v>210</v>
      </c>
      <c r="B84">
        <v>238</v>
      </c>
      <c r="C84">
        <v>39</v>
      </c>
      <c r="D84">
        <v>30</v>
      </c>
      <c r="E84">
        <v>101</v>
      </c>
      <c r="F84">
        <v>68</v>
      </c>
      <c r="G84">
        <v>-22</v>
      </c>
      <c r="H84">
        <v>-15</v>
      </c>
      <c r="I84">
        <v>-9</v>
      </c>
      <c r="J84" t="s">
        <v>1033</v>
      </c>
    </row>
    <row r="85" spans="1:10">
      <c r="A85" t="s">
        <v>211</v>
      </c>
      <c r="B85">
        <v>23</v>
      </c>
      <c r="C85">
        <v>38</v>
      </c>
      <c r="D85">
        <v>27</v>
      </c>
      <c r="E85">
        <v>97</v>
      </c>
      <c r="F85">
        <v>68</v>
      </c>
      <c r="G85">
        <v>-14</v>
      </c>
      <c r="H85">
        <v>-7</v>
      </c>
      <c r="I85">
        <v>-1</v>
      </c>
      <c r="J85" t="s">
        <v>1033</v>
      </c>
    </row>
    <row r="86" spans="1:10">
      <c r="A86" t="s">
        <v>212</v>
      </c>
      <c r="B86">
        <v>575</v>
      </c>
      <c r="C86">
        <v>34</v>
      </c>
      <c r="D86">
        <v>35</v>
      </c>
      <c r="E86">
        <v>95</v>
      </c>
      <c r="F86">
        <v>68</v>
      </c>
      <c r="G86">
        <v>-11</v>
      </c>
      <c r="H86">
        <v>-5</v>
      </c>
      <c r="I86">
        <v>2</v>
      </c>
      <c r="J86" t="s">
        <v>1033</v>
      </c>
    </row>
    <row r="87" spans="1:10">
      <c r="A87" t="s">
        <v>213</v>
      </c>
      <c r="B87">
        <v>57</v>
      </c>
      <c r="C87">
        <v>41</v>
      </c>
      <c r="D87">
        <v>33</v>
      </c>
      <c r="E87">
        <v>65</v>
      </c>
      <c r="F87">
        <v>59</v>
      </c>
      <c r="G87">
        <v>-6</v>
      </c>
      <c r="H87">
        <v>1</v>
      </c>
      <c r="I87">
        <v>7</v>
      </c>
      <c r="J87" t="s">
        <v>1359</v>
      </c>
    </row>
    <row r="88" spans="1:10">
      <c r="A88" t="s">
        <v>214</v>
      </c>
      <c r="B88">
        <v>110</v>
      </c>
      <c r="C88">
        <v>34</v>
      </c>
      <c r="D88">
        <v>40</v>
      </c>
      <c r="E88">
        <v>89</v>
      </c>
      <c r="F88">
        <v>70</v>
      </c>
      <c r="G88">
        <v>9</v>
      </c>
      <c r="H88">
        <v>15</v>
      </c>
      <c r="I88">
        <v>22</v>
      </c>
      <c r="J88" t="s">
        <v>1359</v>
      </c>
    </row>
    <row r="89" spans="1:10">
      <c r="A89" t="s">
        <v>215</v>
      </c>
      <c r="B89">
        <v>387</v>
      </c>
      <c r="C89">
        <v>32</v>
      </c>
      <c r="D89">
        <v>44</v>
      </c>
      <c r="E89">
        <v>80</v>
      </c>
      <c r="F89">
        <v>69</v>
      </c>
      <c r="G89">
        <v>19</v>
      </c>
      <c r="H89">
        <v>26</v>
      </c>
      <c r="I89">
        <v>32</v>
      </c>
      <c r="J89" t="s">
        <v>1359</v>
      </c>
    </row>
    <row r="90" spans="1:10">
      <c r="A90" t="s">
        <v>216</v>
      </c>
      <c r="B90">
        <v>-30</v>
      </c>
      <c r="C90">
        <v>32</v>
      </c>
      <c r="D90">
        <v>38</v>
      </c>
      <c r="E90">
        <v>110</v>
      </c>
      <c r="F90">
        <v>74</v>
      </c>
      <c r="G90">
        <v>-3</v>
      </c>
      <c r="H90">
        <v>4</v>
      </c>
      <c r="I90">
        <v>10</v>
      </c>
      <c r="J90" t="s">
        <v>1033</v>
      </c>
    </row>
    <row r="91" spans="1:10">
      <c r="A91" t="s">
        <v>217</v>
      </c>
      <c r="B91">
        <v>660</v>
      </c>
      <c r="C91">
        <v>33</v>
      </c>
      <c r="D91">
        <v>41</v>
      </c>
      <c r="E91">
        <v>85</v>
      </c>
      <c r="F91">
        <v>68</v>
      </c>
      <c r="G91">
        <v>5</v>
      </c>
      <c r="H91">
        <v>12</v>
      </c>
      <c r="I91">
        <v>18</v>
      </c>
      <c r="J91" t="s">
        <v>1359</v>
      </c>
    </row>
    <row r="92" spans="1:10">
      <c r="A92" t="s">
        <v>218</v>
      </c>
      <c r="B92">
        <v>217</v>
      </c>
      <c r="C92">
        <v>41</v>
      </c>
      <c r="D92">
        <v>32</v>
      </c>
      <c r="E92">
        <v>67</v>
      </c>
      <c r="F92">
        <v>59</v>
      </c>
      <c r="G92">
        <v>-10</v>
      </c>
      <c r="H92">
        <v>-3</v>
      </c>
      <c r="I92">
        <v>3</v>
      </c>
      <c r="J92" t="s">
        <v>1032</v>
      </c>
    </row>
    <row r="93" spans="1:10">
      <c r="A93" t="s">
        <v>219</v>
      </c>
      <c r="B93">
        <v>62</v>
      </c>
      <c r="C93">
        <v>38</v>
      </c>
      <c r="D93">
        <v>34</v>
      </c>
      <c r="E93">
        <v>94</v>
      </c>
      <c r="F93">
        <v>67</v>
      </c>
      <c r="G93">
        <v>-15</v>
      </c>
      <c r="H93">
        <v>-8</v>
      </c>
      <c r="I93">
        <v>-2</v>
      </c>
      <c r="J93" t="s">
        <v>1033</v>
      </c>
    </row>
    <row r="94" spans="1:10">
      <c r="A94" t="s">
        <v>220</v>
      </c>
      <c r="B94">
        <v>328</v>
      </c>
      <c r="C94">
        <v>36</v>
      </c>
      <c r="D94">
        <v>32</v>
      </c>
      <c r="E94">
        <v>101</v>
      </c>
      <c r="F94">
        <v>70</v>
      </c>
      <c r="G94">
        <v>-10</v>
      </c>
      <c r="H94">
        <v>-3</v>
      </c>
      <c r="I94">
        <v>3</v>
      </c>
      <c r="J94" t="s">
        <v>1033</v>
      </c>
    </row>
    <row r="95" spans="1:10">
      <c r="A95" t="s">
        <v>221</v>
      </c>
      <c r="B95">
        <v>3</v>
      </c>
      <c r="C95">
        <v>38</v>
      </c>
      <c r="D95">
        <v>32</v>
      </c>
      <c r="E95">
        <v>84</v>
      </c>
      <c r="F95">
        <v>66</v>
      </c>
      <c r="G95">
        <v>-4</v>
      </c>
      <c r="H95">
        <v>3</v>
      </c>
      <c r="I95">
        <v>9</v>
      </c>
      <c r="J95" t="s">
        <v>1359</v>
      </c>
    </row>
    <row r="96" spans="1:10">
      <c r="A96" t="s">
        <v>222</v>
      </c>
      <c r="B96">
        <v>35</v>
      </c>
      <c r="C96">
        <v>33</v>
      </c>
      <c r="D96">
        <v>43</v>
      </c>
      <c r="E96">
        <v>80</v>
      </c>
      <c r="F96">
        <v>68</v>
      </c>
      <c r="G96">
        <v>0</v>
      </c>
      <c r="H96">
        <v>3</v>
      </c>
      <c r="I96">
        <v>6</v>
      </c>
      <c r="J96" t="s">
        <v>1359</v>
      </c>
    </row>
    <row r="97" spans="1:13">
      <c r="A97" t="s">
        <v>223</v>
      </c>
      <c r="B97">
        <v>237</v>
      </c>
      <c r="C97">
        <v>36</v>
      </c>
      <c r="D97">
        <v>32</v>
      </c>
      <c r="E97">
        <v>101</v>
      </c>
      <c r="F97">
        <v>71</v>
      </c>
      <c r="G97">
        <v>-4</v>
      </c>
      <c r="H97">
        <v>3</v>
      </c>
      <c r="I97">
        <v>9</v>
      </c>
      <c r="J97" t="s">
        <v>1033</v>
      </c>
    </row>
    <row r="98" spans="1:13">
      <c r="A98" t="s">
        <v>2770</v>
      </c>
      <c r="B98">
        <v>500</v>
      </c>
      <c r="C98">
        <v>37</v>
      </c>
      <c r="D98">
        <v>27</v>
      </c>
      <c r="E98">
        <v>97</v>
      </c>
      <c r="F98">
        <v>68</v>
      </c>
      <c r="G98">
        <v>-14</v>
      </c>
      <c r="H98">
        <v>-7</v>
      </c>
      <c r="I98">
        <v>-1</v>
      </c>
      <c r="J98" t="s">
        <v>1359</v>
      </c>
      <c r="L98"/>
      <c r="M98" s="190"/>
    </row>
    <row r="99" spans="1:13">
      <c r="A99" t="s">
        <v>224</v>
      </c>
      <c r="B99">
        <v>87</v>
      </c>
      <c r="C99">
        <v>34</v>
      </c>
      <c r="D99">
        <v>38</v>
      </c>
      <c r="E99">
        <v>80</v>
      </c>
      <c r="F99">
        <v>61</v>
      </c>
      <c r="G99">
        <v>-5</v>
      </c>
      <c r="H99">
        <v>2</v>
      </c>
      <c r="I99">
        <v>8</v>
      </c>
      <c r="J99" t="s">
        <v>1359</v>
      </c>
    </row>
    <row r="100" spans="1:13">
      <c r="A100" t="s">
        <v>225</v>
      </c>
      <c r="B100">
        <v>30</v>
      </c>
      <c r="C100">
        <v>33</v>
      </c>
      <c r="D100">
        <v>43</v>
      </c>
      <c r="E100">
        <v>88</v>
      </c>
      <c r="F100">
        <v>67</v>
      </c>
      <c r="G100">
        <v>-5</v>
      </c>
      <c r="H100">
        <v>2</v>
      </c>
      <c r="I100">
        <v>8</v>
      </c>
      <c r="J100" t="s">
        <v>1359</v>
      </c>
    </row>
    <row r="101" spans="1:13">
      <c r="A101" t="s">
        <v>226</v>
      </c>
      <c r="B101">
        <v>97</v>
      </c>
      <c r="C101">
        <v>34</v>
      </c>
      <c r="D101">
        <v>45</v>
      </c>
      <c r="E101">
        <v>81</v>
      </c>
      <c r="F101">
        <v>64</v>
      </c>
      <c r="G101">
        <v>-9</v>
      </c>
      <c r="H101">
        <v>-2</v>
      </c>
      <c r="I101">
        <v>8</v>
      </c>
      <c r="J101" t="s">
        <v>1032</v>
      </c>
    </row>
    <row r="102" spans="1:13">
      <c r="A102" t="s">
        <v>227</v>
      </c>
      <c r="B102">
        <v>270</v>
      </c>
      <c r="C102">
        <v>34</v>
      </c>
      <c r="D102">
        <v>40</v>
      </c>
      <c r="E102">
        <v>89</v>
      </c>
      <c r="F102">
        <v>70</v>
      </c>
      <c r="G102">
        <v>10</v>
      </c>
      <c r="H102">
        <v>17</v>
      </c>
      <c r="I102">
        <v>23</v>
      </c>
      <c r="J102" t="s">
        <v>1359</v>
      </c>
    </row>
    <row r="103" spans="1:13">
      <c r="A103" t="s">
        <v>228</v>
      </c>
      <c r="B103">
        <v>119</v>
      </c>
      <c r="C103">
        <v>39</v>
      </c>
      <c r="D103">
        <v>34</v>
      </c>
      <c r="E103">
        <v>98</v>
      </c>
      <c r="F103">
        <v>69</v>
      </c>
      <c r="G103">
        <v>-10</v>
      </c>
      <c r="H103">
        <v>-3</v>
      </c>
      <c r="I103">
        <v>3</v>
      </c>
      <c r="J103" t="s">
        <v>1033</v>
      </c>
    </row>
    <row r="104" spans="1:13">
      <c r="A104" t="s">
        <v>229</v>
      </c>
      <c r="B104">
        <v>188</v>
      </c>
      <c r="C104">
        <v>37</v>
      </c>
      <c r="D104">
        <v>32</v>
      </c>
      <c r="E104">
        <v>97</v>
      </c>
      <c r="F104">
        <v>69</v>
      </c>
      <c r="G104">
        <v>-9</v>
      </c>
      <c r="H104">
        <v>-2</v>
      </c>
      <c r="I104">
        <v>4</v>
      </c>
      <c r="J104" t="s">
        <v>1033</v>
      </c>
    </row>
    <row r="105" spans="1:13">
      <c r="A105" t="s">
        <v>230</v>
      </c>
      <c r="B105">
        <v>97</v>
      </c>
      <c r="C105">
        <v>37</v>
      </c>
      <c r="D105">
        <v>30</v>
      </c>
      <c r="E105">
        <v>98</v>
      </c>
      <c r="F105">
        <v>68</v>
      </c>
      <c r="G105">
        <v>-16</v>
      </c>
      <c r="H105">
        <v>-9</v>
      </c>
      <c r="I105">
        <v>-3</v>
      </c>
      <c r="J105" t="s">
        <v>1033</v>
      </c>
    </row>
    <row r="106" spans="1:13">
      <c r="A106" t="s">
        <v>231</v>
      </c>
      <c r="B106">
        <v>162</v>
      </c>
      <c r="C106">
        <v>36</v>
      </c>
      <c r="D106">
        <v>38</v>
      </c>
      <c r="E106">
        <v>81</v>
      </c>
      <c r="F106">
        <v>61</v>
      </c>
      <c r="G106">
        <v>-7</v>
      </c>
      <c r="H106">
        <v>0</v>
      </c>
      <c r="I106">
        <v>6</v>
      </c>
      <c r="J106" t="s">
        <v>1359</v>
      </c>
    </row>
    <row r="107" spans="1:13">
      <c r="A107" t="s">
        <v>232</v>
      </c>
      <c r="B107">
        <v>3543</v>
      </c>
      <c r="C107">
        <v>41</v>
      </c>
      <c r="D107">
        <v>21</v>
      </c>
      <c r="E107">
        <v>88</v>
      </c>
      <c r="F107">
        <v>61</v>
      </c>
      <c r="G107">
        <v>-33</v>
      </c>
      <c r="H107">
        <v>-26</v>
      </c>
      <c r="I107">
        <v>-20</v>
      </c>
      <c r="J107" t="s">
        <v>1033</v>
      </c>
    </row>
    <row r="108" spans="1:13">
      <c r="A108" t="s">
        <v>233</v>
      </c>
      <c r="B108">
        <v>34</v>
      </c>
      <c r="C108">
        <v>37</v>
      </c>
      <c r="D108">
        <v>39</v>
      </c>
      <c r="E108">
        <v>84</v>
      </c>
      <c r="F108">
        <v>65</v>
      </c>
      <c r="G108">
        <v>-9</v>
      </c>
      <c r="H108">
        <v>-2</v>
      </c>
      <c r="I108">
        <v>4</v>
      </c>
      <c r="J108" t="s">
        <v>1359</v>
      </c>
    </row>
    <row r="109" spans="1:13">
      <c r="A109" t="s">
        <v>234</v>
      </c>
      <c r="B109">
        <v>33</v>
      </c>
      <c r="C109">
        <v>38</v>
      </c>
      <c r="D109">
        <v>32</v>
      </c>
      <c r="E109">
        <v>96</v>
      </c>
      <c r="F109">
        <v>68</v>
      </c>
      <c r="G109">
        <v>-12</v>
      </c>
      <c r="H109">
        <v>-5</v>
      </c>
      <c r="I109">
        <v>1</v>
      </c>
      <c r="J109" t="s">
        <v>1033</v>
      </c>
    </row>
    <row r="110" spans="1:13">
      <c r="A110" t="s">
        <v>235</v>
      </c>
      <c r="B110">
        <v>983</v>
      </c>
      <c r="C110">
        <v>34</v>
      </c>
      <c r="D110">
        <v>33</v>
      </c>
      <c r="E110">
        <v>110</v>
      </c>
      <c r="F110">
        <v>71</v>
      </c>
      <c r="G110">
        <v>-18</v>
      </c>
      <c r="H110">
        <v>-11</v>
      </c>
      <c r="I110">
        <v>-5</v>
      </c>
      <c r="J110" t="s">
        <v>1033</v>
      </c>
    </row>
    <row r="111" spans="1:13">
      <c r="A111" t="s">
        <v>236</v>
      </c>
      <c r="B111">
        <v>6</v>
      </c>
      <c r="C111">
        <v>37</v>
      </c>
      <c r="D111">
        <v>36</v>
      </c>
      <c r="E111">
        <v>80</v>
      </c>
      <c r="F111">
        <v>63</v>
      </c>
      <c r="G111">
        <v>-12</v>
      </c>
      <c r="H111">
        <v>-5</v>
      </c>
      <c r="I111">
        <v>1</v>
      </c>
      <c r="J111" t="s">
        <v>1359</v>
      </c>
    </row>
    <row r="112" spans="1:13">
      <c r="A112" t="s">
        <v>237</v>
      </c>
      <c r="B112">
        <v>28</v>
      </c>
      <c r="C112">
        <v>33</v>
      </c>
      <c r="D112">
        <v>43</v>
      </c>
      <c r="E112">
        <v>80</v>
      </c>
      <c r="F112">
        <v>68</v>
      </c>
      <c r="G112">
        <v>13</v>
      </c>
      <c r="H112">
        <v>20</v>
      </c>
      <c r="I112">
        <v>26</v>
      </c>
      <c r="J112" t="s">
        <v>1032</v>
      </c>
    </row>
    <row r="113" spans="1:10">
      <c r="A113" t="s">
        <v>238</v>
      </c>
      <c r="B113">
        <v>952</v>
      </c>
      <c r="C113">
        <v>34</v>
      </c>
      <c r="D113">
        <v>38</v>
      </c>
      <c r="E113">
        <v>98</v>
      </c>
      <c r="F113">
        <v>70</v>
      </c>
      <c r="G113">
        <v>-5</v>
      </c>
      <c r="H113">
        <v>2</v>
      </c>
      <c r="I113">
        <v>8</v>
      </c>
      <c r="J113" t="s">
        <v>1033</v>
      </c>
    </row>
    <row r="114" spans="1:10">
      <c r="A114" t="s">
        <v>239</v>
      </c>
      <c r="B114">
        <v>7</v>
      </c>
      <c r="C114">
        <v>34</v>
      </c>
      <c r="D114">
        <v>41</v>
      </c>
      <c r="E114">
        <v>79</v>
      </c>
      <c r="F114">
        <v>64</v>
      </c>
      <c r="G114">
        <v>-6</v>
      </c>
      <c r="H114">
        <v>1</v>
      </c>
      <c r="I114">
        <v>7</v>
      </c>
      <c r="J114" t="s">
        <v>1359</v>
      </c>
    </row>
    <row r="115" spans="1:10">
      <c r="A115" t="s">
        <v>240</v>
      </c>
      <c r="B115">
        <v>2542</v>
      </c>
      <c r="C115">
        <v>34</v>
      </c>
      <c r="D115">
        <v>24</v>
      </c>
      <c r="E115">
        <v>98</v>
      </c>
      <c r="F115">
        <v>65</v>
      </c>
      <c r="G115">
        <v>-31</v>
      </c>
      <c r="H115">
        <v>-24</v>
      </c>
      <c r="I115">
        <v>-18</v>
      </c>
      <c r="J115" t="s">
        <v>1033</v>
      </c>
    </row>
    <row r="116" spans="1:10">
      <c r="A116" t="s">
        <v>241</v>
      </c>
      <c r="B116">
        <v>462</v>
      </c>
      <c r="C116">
        <v>33</v>
      </c>
      <c r="D116">
        <v>35</v>
      </c>
      <c r="E116">
        <v>110</v>
      </c>
      <c r="F116">
        <v>70</v>
      </c>
      <c r="G116">
        <v>-24</v>
      </c>
      <c r="H116">
        <v>-17</v>
      </c>
      <c r="I116">
        <v>-11</v>
      </c>
      <c r="J116" t="s">
        <v>1033</v>
      </c>
    </row>
    <row r="117" spans="1:10">
      <c r="A117" t="s">
        <v>242</v>
      </c>
      <c r="B117">
        <v>864</v>
      </c>
      <c r="C117">
        <v>34</v>
      </c>
      <c r="D117">
        <v>35</v>
      </c>
      <c r="E117">
        <v>95</v>
      </c>
      <c r="F117">
        <v>68</v>
      </c>
      <c r="G117">
        <v>-11</v>
      </c>
      <c r="H117">
        <v>-4</v>
      </c>
      <c r="I117">
        <v>2</v>
      </c>
      <c r="J117" t="s">
        <v>1033</v>
      </c>
    </row>
    <row r="118" spans="1:10">
      <c r="A118" t="s">
        <v>243</v>
      </c>
      <c r="B118">
        <v>837</v>
      </c>
      <c r="C118">
        <v>35</v>
      </c>
      <c r="D118">
        <v>29</v>
      </c>
      <c r="E118">
        <v>98</v>
      </c>
      <c r="F118">
        <v>67</v>
      </c>
      <c r="G118">
        <v>-21</v>
      </c>
      <c r="H118">
        <v>-14</v>
      </c>
      <c r="I118">
        <v>-8</v>
      </c>
      <c r="J118" t="s">
        <v>1033</v>
      </c>
    </row>
    <row r="119" spans="1:10">
      <c r="A119" t="s">
        <v>244</v>
      </c>
      <c r="B119">
        <v>87</v>
      </c>
      <c r="C119">
        <v>38</v>
      </c>
      <c r="D119">
        <v>29</v>
      </c>
      <c r="E119">
        <v>90</v>
      </c>
      <c r="F119">
        <v>66</v>
      </c>
      <c r="G119">
        <v>-13</v>
      </c>
      <c r="H119">
        <v>-6</v>
      </c>
      <c r="I119">
        <v>0</v>
      </c>
      <c r="J119" t="s">
        <v>1033</v>
      </c>
    </row>
    <row r="120" spans="1:10">
      <c r="A120" t="s">
        <v>245</v>
      </c>
      <c r="B120">
        <v>934</v>
      </c>
      <c r="C120">
        <v>34</v>
      </c>
      <c r="D120">
        <v>30</v>
      </c>
      <c r="E120">
        <v>99</v>
      </c>
      <c r="F120">
        <v>69</v>
      </c>
      <c r="G120">
        <v>-12</v>
      </c>
      <c r="H120">
        <v>-5</v>
      </c>
      <c r="I120">
        <v>1</v>
      </c>
      <c r="J120" t="s">
        <v>1033</v>
      </c>
    </row>
    <row r="121" spans="1:10">
      <c r="A121" t="s">
        <v>246</v>
      </c>
      <c r="B121">
        <v>342</v>
      </c>
      <c r="C121">
        <v>40</v>
      </c>
      <c r="D121">
        <v>32</v>
      </c>
      <c r="E121">
        <v>102</v>
      </c>
      <c r="F121">
        <v>69</v>
      </c>
      <c r="G121">
        <v>-17</v>
      </c>
      <c r="H121">
        <v>-10</v>
      </c>
      <c r="I121">
        <v>-4</v>
      </c>
      <c r="J121" t="s">
        <v>1033</v>
      </c>
    </row>
    <row r="122" spans="1:10">
      <c r="A122" t="s">
        <v>247</v>
      </c>
      <c r="B122">
        <v>502</v>
      </c>
      <c r="C122">
        <v>40</v>
      </c>
      <c r="D122">
        <v>31</v>
      </c>
      <c r="E122">
        <v>102</v>
      </c>
      <c r="F122">
        <v>67</v>
      </c>
      <c r="G122">
        <v>-27</v>
      </c>
      <c r="H122">
        <v>-20</v>
      </c>
      <c r="I122">
        <v>-14</v>
      </c>
      <c r="J122" t="s">
        <v>1033</v>
      </c>
    </row>
    <row r="123" spans="1:10">
      <c r="A123" t="s">
        <v>248</v>
      </c>
      <c r="B123">
        <v>1571</v>
      </c>
      <c r="C123">
        <v>34</v>
      </c>
      <c r="D123">
        <v>33</v>
      </c>
      <c r="E123">
        <v>99</v>
      </c>
      <c r="F123">
        <v>69</v>
      </c>
      <c r="G123">
        <v>-12</v>
      </c>
      <c r="H123">
        <v>-5</v>
      </c>
      <c r="I123">
        <v>1</v>
      </c>
      <c r="J123" t="s">
        <v>1033</v>
      </c>
    </row>
    <row r="124" spans="1:10">
      <c r="A124" t="s">
        <v>249</v>
      </c>
      <c r="B124">
        <v>55</v>
      </c>
      <c r="C124">
        <v>38</v>
      </c>
      <c r="D124">
        <v>36</v>
      </c>
      <c r="E124">
        <v>80</v>
      </c>
      <c r="F124">
        <v>63</v>
      </c>
      <c r="G124">
        <v>-12</v>
      </c>
      <c r="H124">
        <v>-6</v>
      </c>
      <c r="I124">
        <v>1</v>
      </c>
      <c r="J124" t="s">
        <v>1359</v>
      </c>
    </row>
    <row r="125" spans="1:10">
      <c r="A125" t="s">
        <v>250</v>
      </c>
      <c r="B125">
        <v>1533</v>
      </c>
      <c r="C125">
        <v>33</v>
      </c>
      <c r="D125">
        <v>36</v>
      </c>
      <c r="E125">
        <v>98</v>
      </c>
      <c r="F125">
        <v>68</v>
      </c>
      <c r="G125">
        <v>-16</v>
      </c>
      <c r="H125">
        <v>-9</v>
      </c>
      <c r="I125">
        <v>-3</v>
      </c>
      <c r="J125" t="s">
        <v>1033</v>
      </c>
    </row>
    <row r="126" spans="1:10">
      <c r="A126" t="s">
        <v>251</v>
      </c>
      <c r="B126">
        <v>95</v>
      </c>
      <c r="C126">
        <v>38</v>
      </c>
      <c r="D126">
        <v>32</v>
      </c>
      <c r="E126">
        <v>97</v>
      </c>
      <c r="F126">
        <v>68</v>
      </c>
      <c r="G126">
        <v>-14</v>
      </c>
      <c r="H126">
        <v>-7</v>
      </c>
      <c r="I126">
        <v>-1</v>
      </c>
      <c r="J126" t="s">
        <v>1033</v>
      </c>
    </row>
    <row r="127" spans="1:10">
      <c r="A127" t="s">
        <v>252</v>
      </c>
      <c r="B127">
        <v>75</v>
      </c>
      <c r="C127">
        <v>38</v>
      </c>
      <c r="D127">
        <v>34</v>
      </c>
      <c r="E127">
        <v>98</v>
      </c>
      <c r="F127">
        <v>67</v>
      </c>
      <c r="G127">
        <v>-21</v>
      </c>
      <c r="H127">
        <v>-14</v>
      </c>
      <c r="I127">
        <v>-8</v>
      </c>
      <c r="J127" t="s">
        <v>1033</v>
      </c>
    </row>
    <row r="128" spans="1:10">
      <c r="A128" t="s">
        <v>253</v>
      </c>
      <c r="B128">
        <v>23</v>
      </c>
      <c r="C128">
        <v>38</v>
      </c>
      <c r="D128">
        <v>33</v>
      </c>
      <c r="E128">
        <v>97</v>
      </c>
      <c r="F128">
        <v>69</v>
      </c>
      <c r="G128">
        <v>-9</v>
      </c>
      <c r="H128">
        <v>-2</v>
      </c>
      <c r="I128">
        <v>4</v>
      </c>
      <c r="J128" t="s">
        <v>1033</v>
      </c>
    </row>
    <row r="129" spans="1:10">
      <c r="A129" t="s">
        <v>254</v>
      </c>
      <c r="B129">
        <v>85</v>
      </c>
      <c r="C129">
        <v>36</v>
      </c>
      <c r="D129">
        <v>35</v>
      </c>
      <c r="E129">
        <v>78</v>
      </c>
      <c r="F129">
        <v>62</v>
      </c>
      <c r="G129">
        <v>-14</v>
      </c>
      <c r="H129">
        <v>-7</v>
      </c>
      <c r="I129">
        <v>-1</v>
      </c>
      <c r="J129" t="s">
        <v>1359</v>
      </c>
    </row>
    <row r="130" spans="1:10">
      <c r="A130" t="s">
        <v>255</v>
      </c>
      <c r="B130">
        <v>1156</v>
      </c>
      <c r="C130">
        <v>34</v>
      </c>
      <c r="D130">
        <v>36</v>
      </c>
      <c r="E130">
        <v>101</v>
      </c>
      <c r="F130">
        <v>70</v>
      </c>
      <c r="G130">
        <v>-10</v>
      </c>
      <c r="H130">
        <v>-3</v>
      </c>
      <c r="I130">
        <v>3</v>
      </c>
      <c r="J130" t="s">
        <v>1033</v>
      </c>
    </row>
    <row r="131" spans="1:10">
      <c r="A131" t="s">
        <v>256</v>
      </c>
      <c r="B131">
        <v>13</v>
      </c>
      <c r="C131">
        <v>32</v>
      </c>
      <c r="D131">
        <v>46</v>
      </c>
      <c r="E131">
        <v>81</v>
      </c>
      <c r="F131">
        <v>67</v>
      </c>
      <c r="G131">
        <v>6</v>
      </c>
      <c r="H131">
        <v>13</v>
      </c>
      <c r="I131">
        <v>19</v>
      </c>
      <c r="J131" t="s">
        <v>1032</v>
      </c>
    </row>
    <row r="132" spans="1:10">
      <c r="A132" t="s">
        <v>257</v>
      </c>
      <c r="B132">
        <v>477</v>
      </c>
      <c r="C132">
        <v>32</v>
      </c>
      <c r="D132">
        <v>42</v>
      </c>
      <c r="E132">
        <v>88</v>
      </c>
      <c r="F132">
        <v>67</v>
      </c>
      <c r="G132">
        <v>-5</v>
      </c>
      <c r="H132">
        <v>2</v>
      </c>
      <c r="I132">
        <v>8</v>
      </c>
      <c r="J132" t="s">
        <v>1359</v>
      </c>
    </row>
    <row r="133" spans="1:10">
      <c r="A133" t="s">
        <v>258</v>
      </c>
      <c r="B133">
        <v>977</v>
      </c>
      <c r="C133">
        <v>34</v>
      </c>
      <c r="D133">
        <v>39</v>
      </c>
      <c r="E133">
        <v>91</v>
      </c>
      <c r="F133">
        <v>68</v>
      </c>
      <c r="G133">
        <v>-4</v>
      </c>
      <c r="H133">
        <v>2</v>
      </c>
      <c r="I133">
        <v>9</v>
      </c>
      <c r="J133" t="s">
        <v>1033</v>
      </c>
    </row>
    <row r="134" spans="1:10">
      <c r="A134" t="s">
        <v>259</v>
      </c>
      <c r="B134">
        <v>8</v>
      </c>
      <c r="C134">
        <v>37</v>
      </c>
      <c r="D134">
        <v>39</v>
      </c>
      <c r="E134">
        <v>78</v>
      </c>
      <c r="F134">
        <v>62</v>
      </c>
      <c r="G134">
        <v>-14</v>
      </c>
      <c r="H134">
        <v>-7</v>
      </c>
      <c r="I134">
        <v>-1</v>
      </c>
      <c r="J134" t="s">
        <v>1359</v>
      </c>
    </row>
    <row r="135" spans="1:10">
      <c r="A135" t="s">
        <v>260</v>
      </c>
      <c r="B135">
        <v>20</v>
      </c>
      <c r="C135">
        <v>37</v>
      </c>
      <c r="D135">
        <v>40</v>
      </c>
      <c r="E135">
        <v>71</v>
      </c>
      <c r="F135">
        <v>62</v>
      </c>
      <c r="G135">
        <v>-2</v>
      </c>
      <c r="H135">
        <v>5</v>
      </c>
      <c r="I135">
        <v>11</v>
      </c>
      <c r="J135" t="s">
        <v>1032</v>
      </c>
    </row>
    <row r="136" spans="1:10">
      <c r="A136" t="s">
        <v>261</v>
      </c>
      <c r="B136">
        <v>56</v>
      </c>
      <c r="C136">
        <v>37</v>
      </c>
      <c r="D136">
        <v>38</v>
      </c>
      <c r="E136">
        <v>89</v>
      </c>
      <c r="F136">
        <v>66</v>
      </c>
      <c r="G136">
        <v>-12</v>
      </c>
      <c r="H136">
        <v>-5</v>
      </c>
      <c r="I136">
        <v>1</v>
      </c>
      <c r="J136" t="s">
        <v>1033</v>
      </c>
    </row>
    <row r="137" spans="1:10">
      <c r="A137" t="s">
        <v>262</v>
      </c>
      <c r="B137">
        <v>250</v>
      </c>
      <c r="C137">
        <v>35</v>
      </c>
      <c r="D137">
        <v>35</v>
      </c>
      <c r="E137">
        <v>88</v>
      </c>
      <c r="F137">
        <v>70</v>
      </c>
      <c r="G137">
        <v>11</v>
      </c>
      <c r="H137">
        <v>18</v>
      </c>
      <c r="I137">
        <v>24</v>
      </c>
      <c r="J137" t="s">
        <v>1033</v>
      </c>
    </row>
    <row r="138" spans="1:10">
      <c r="A138" t="s">
        <v>263</v>
      </c>
      <c r="B138">
        <v>54</v>
      </c>
      <c r="C138">
        <v>33</v>
      </c>
      <c r="D138">
        <v>39</v>
      </c>
      <c r="E138">
        <v>85</v>
      </c>
      <c r="F138">
        <v>68</v>
      </c>
      <c r="G138">
        <v>5</v>
      </c>
      <c r="H138">
        <v>12</v>
      </c>
      <c r="I138">
        <v>18</v>
      </c>
      <c r="J138" t="s">
        <v>1359</v>
      </c>
    </row>
    <row r="139" spans="1:10">
      <c r="A139" t="s">
        <v>264</v>
      </c>
      <c r="B139">
        <v>10</v>
      </c>
      <c r="C139">
        <v>34</v>
      </c>
      <c r="D139">
        <v>37</v>
      </c>
      <c r="E139">
        <v>80</v>
      </c>
      <c r="F139">
        <v>64</v>
      </c>
      <c r="G139">
        <v>-8</v>
      </c>
      <c r="H139">
        <v>1</v>
      </c>
      <c r="I139">
        <v>5</v>
      </c>
      <c r="J139" t="s">
        <v>1359</v>
      </c>
    </row>
    <row r="140" spans="1:10">
      <c r="A140" t="s">
        <v>265</v>
      </c>
      <c r="B140">
        <v>125</v>
      </c>
      <c r="C140">
        <v>37</v>
      </c>
      <c r="D140">
        <v>38</v>
      </c>
      <c r="E140">
        <v>71</v>
      </c>
      <c r="F140">
        <v>61</v>
      </c>
      <c r="G140">
        <v>-7</v>
      </c>
      <c r="H140">
        <v>2</v>
      </c>
      <c r="I140">
        <v>6</v>
      </c>
      <c r="J140" t="s">
        <v>1359</v>
      </c>
    </row>
    <row r="141" spans="1:10">
      <c r="A141" t="s">
        <v>266</v>
      </c>
      <c r="B141">
        <v>240</v>
      </c>
      <c r="C141">
        <v>34</v>
      </c>
      <c r="D141">
        <v>35</v>
      </c>
      <c r="E141">
        <v>82</v>
      </c>
      <c r="F141">
        <v>62</v>
      </c>
      <c r="G141">
        <v>-20</v>
      </c>
      <c r="H141">
        <v>-13</v>
      </c>
      <c r="I141">
        <v>-7</v>
      </c>
      <c r="J141" t="s">
        <v>1359</v>
      </c>
    </row>
    <row r="142" spans="1:10">
      <c r="A142" t="s">
        <v>267</v>
      </c>
      <c r="B142">
        <v>236</v>
      </c>
      <c r="C142">
        <v>34</v>
      </c>
      <c r="D142">
        <v>43</v>
      </c>
      <c r="E142">
        <v>80</v>
      </c>
      <c r="F142">
        <v>68</v>
      </c>
      <c r="G142">
        <v>13</v>
      </c>
      <c r="H142">
        <v>20</v>
      </c>
      <c r="I142">
        <v>26</v>
      </c>
      <c r="J142" t="s">
        <v>1359</v>
      </c>
    </row>
    <row r="143" spans="1:10">
      <c r="A143" t="s">
        <v>268</v>
      </c>
      <c r="B143">
        <v>245</v>
      </c>
      <c r="C143">
        <v>34</v>
      </c>
      <c r="D143">
        <v>35</v>
      </c>
      <c r="E143">
        <v>86</v>
      </c>
      <c r="F143">
        <v>67</v>
      </c>
      <c r="G143">
        <v>-2</v>
      </c>
      <c r="H143">
        <v>5</v>
      </c>
      <c r="I143">
        <v>11</v>
      </c>
      <c r="J143" t="s">
        <v>1359</v>
      </c>
    </row>
    <row r="144" spans="1:10">
      <c r="A144" t="s">
        <v>269</v>
      </c>
      <c r="B144">
        <v>125</v>
      </c>
      <c r="C144">
        <v>38</v>
      </c>
      <c r="D144">
        <v>29</v>
      </c>
      <c r="E144">
        <v>95</v>
      </c>
      <c r="F144">
        <v>67</v>
      </c>
      <c r="G144">
        <v>-16</v>
      </c>
      <c r="H144">
        <v>-9</v>
      </c>
      <c r="I144">
        <v>-3</v>
      </c>
      <c r="J144" t="s">
        <v>1033</v>
      </c>
    </row>
    <row r="145" spans="1:10">
      <c r="A145" t="s">
        <v>270</v>
      </c>
      <c r="B145">
        <v>22</v>
      </c>
      <c r="C145">
        <v>37</v>
      </c>
      <c r="D145">
        <v>32</v>
      </c>
      <c r="E145">
        <v>97</v>
      </c>
      <c r="F145">
        <v>68</v>
      </c>
      <c r="G145">
        <v>-14</v>
      </c>
      <c r="H145">
        <v>-7</v>
      </c>
      <c r="I145">
        <v>-1</v>
      </c>
      <c r="J145" t="s">
        <v>1033</v>
      </c>
    </row>
    <row r="146" spans="1:10">
      <c r="A146" t="s">
        <v>271</v>
      </c>
      <c r="B146">
        <v>614</v>
      </c>
      <c r="C146">
        <v>39</v>
      </c>
      <c r="D146">
        <v>29</v>
      </c>
      <c r="E146">
        <v>95</v>
      </c>
      <c r="F146">
        <v>68</v>
      </c>
      <c r="G146">
        <v>-11</v>
      </c>
      <c r="H146">
        <v>-4</v>
      </c>
      <c r="I146">
        <v>2</v>
      </c>
      <c r="J146" t="s">
        <v>1033</v>
      </c>
    </row>
    <row r="147" spans="1:10">
      <c r="A147" t="s">
        <v>272</v>
      </c>
      <c r="B147">
        <v>2875</v>
      </c>
      <c r="C147">
        <v>34</v>
      </c>
      <c r="D147">
        <v>30</v>
      </c>
      <c r="E147">
        <v>98</v>
      </c>
      <c r="F147">
        <v>65</v>
      </c>
      <c r="G147">
        <v>-31</v>
      </c>
      <c r="H147">
        <v>-24</v>
      </c>
      <c r="I147">
        <v>-18</v>
      </c>
      <c r="J147" t="s">
        <v>1033</v>
      </c>
    </row>
    <row r="148" spans="1:10">
      <c r="A148" t="s">
        <v>273</v>
      </c>
      <c r="B148">
        <v>292</v>
      </c>
      <c r="C148">
        <v>36</v>
      </c>
      <c r="D148">
        <v>30</v>
      </c>
      <c r="E148">
        <v>100</v>
      </c>
      <c r="F148">
        <v>69</v>
      </c>
      <c r="G148">
        <v>-14</v>
      </c>
      <c r="H148">
        <v>-7</v>
      </c>
      <c r="I148">
        <v>-1</v>
      </c>
      <c r="J148" t="s">
        <v>1033</v>
      </c>
    </row>
    <row r="149" spans="1:10">
      <c r="A149" t="s">
        <v>274</v>
      </c>
      <c r="B149">
        <v>2625</v>
      </c>
      <c r="C149">
        <v>41</v>
      </c>
      <c r="D149">
        <v>17</v>
      </c>
      <c r="E149">
        <v>92</v>
      </c>
      <c r="F149">
        <v>64</v>
      </c>
      <c r="G149">
        <v>-25</v>
      </c>
      <c r="H149">
        <v>-18</v>
      </c>
      <c r="I149">
        <v>-11</v>
      </c>
      <c r="J149" t="s">
        <v>1033</v>
      </c>
    </row>
    <row r="150" spans="1:10">
      <c r="A150" t="s">
        <v>275</v>
      </c>
      <c r="B150">
        <v>58</v>
      </c>
      <c r="C150">
        <v>39</v>
      </c>
      <c r="D150">
        <v>31</v>
      </c>
      <c r="E150">
        <v>101</v>
      </c>
      <c r="F150">
        <v>67</v>
      </c>
      <c r="G150">
        <v>-26</v>
      </c>
      <c r="H150">
        <v>-19</v>
      </c>
      <c r="I150">
        <v>-13</v>
      </c>
      <c r="J150" t="s">
        <v>1033</v>
      </c>
    </row>
    <row r="151" spans="1:10">
      <c r="A151" t="s">
        <v>276</v>
      </c>
      <c r="B151">
        <v>7543</v>
      </c>
      <c r="C151">
        <v>37</v>
      </c>
      <c r="D151">
        <v>-11</v>
      </c>
      <c r="E151">
        <v>82</v>
      </c>
      <c r="F151">
        <v>55</v>
      </c>
      <c r="G151">
        <v>-53</v>
      </c>
      <c r="H151">
        <v>-46</v>
      </c>
      <c r="I151">
        <v>-40</v>
      </c>
      <c r="J151" t="s">
        <v>1359</v>
      </c>
    </row>
    <row r="152" spans="1:10">
      <c r="A152" t="s">
        <v>277</v>
      </c>
      <c r="B152">
        <v>5385</v>
      </c>
      <c r="C152">
        <v>40</v>
      </c>
      <c r="D152">
        <v>0</v>
      </c>
      <c r="E152">
        <v>91</v>
      </c>
      <c r="F152">
        <v>59</v>
      </c>
      <c r="G152">
        <v>-47</v>
      </c>
      <c r="H152">
        <v>-40</v>
      </c>
      <c r="I152">
        <v>-34</v>
      </c>
      <c r="J152" t="s">
        <v>1033</v>
      </c>
    </row>
    <row r="153" spans="1:10">
      <c r="A153" t="s">
        <v>278</v>
      </c>
      <c r="B153">
        <v>6171</v>
      </c>
      <c r="C153">
        <v>38</v>
      </c>
      <c r="D153">
        <v>4</v>
      </c>
      <c r="E153">
        <v>87</v>
      </c>
      <c r="F153">
        <v>58</v>
      </c>
      <c r="G153">
        <v>-46</v>
      </c>
      <c r="H153">
        <v>-39</v>
      </c>
      <c r="I153">
        <v>-33</v>
      </c>
      <c r="J153" t="s">
        <v>1033</v>
      </c>
    </row>
    <row r="154" spans="1:10">
      <c r="A154" t="s">
        <v>279</v>
      </c>
      <c r="B154">
        <v>6283</v>
      </c>
      <c r="C154">
        <v>40</v>
      </c>
      <c r="D154">
        <v>-12</v>
      </c>
      <c r="E154">
        <v>85</v>
      </c>
      <c r="F154">
        <v>56</v>
      </c>
      <c r="G154">
        <v>-52</v>
      </c>
      <c r="H154">
        <v>-45</v>
      </c>
      <c r="I154">
        <v>-39</v>
      </c>
      <c r="J154" t="s">
        <v>1359</v>
      </c>
    </row>
    <row r="155" spans="1:10">
      <c r="A155" t="s">
        <v>280</v>
      </c>
      <c r="B155">
        <v>5283</v>
      </c>
      <c r="C155">
        <v>39</v>
      </c>
      <c r="D155">
        <v>-3</v>
      </c>
      <c r="E155">
        <v>90</v>
      </c>
      <c r="F155">
        <v>59</v>
      </c>
      <c r="G155">
        <v>-46</v>
      </c>
      <c r="H155">
        <v>-39</v>
      </c>
      <c r="I155">
        <v>-33</v>
      </c>
      <c r="J155" t="s">
        <v>1033</v>
      </c>
    </row>
    <row r="156" spans="1:10">
      <c r="A156" t="s">
        <v>281</v>
      </c>
      <c r="B156">
        <v>6684</v>
      </c>
      <c r="C156">
        <v>37</v>
      </c>
      <c r="D156">
        <v>-1</v>
      </c>
      <c r="E156">
        <v>87</v>
      </c>
      <c r="F156">
        <v>59</v>
      </c>
      <c r="G156">
        <v>-41</v>
      </c>
      <c r="H156">
        <v>-34</v>
      </c>
      <c r="I156">
        <v>-28</v>
      </c>
      <c r="J156" t="s">
        <v>1033</v>
      </c>
    </row>
    <row r="157" spans="1:10">
      <c r="A157" t="s">
        <v>282</v>
      </c>
      <c r="B157">
        <v>6539</v>
      </c>
      <c r="C157">
        <v>39</v>
      </c>
      <c r="D157">
        <v>-7</v>
      </c>
      <c r="E157">
        <v>86</v>
      </c>
      <c r="F157">
        <v>57</v>
      </c>
      <c r="G157">
        <v>-49</v>
      </c>
      <c r="H157">
        <v>-42</v>
      </c>
      <c r="I157">
        <v>-36</v>
      </c>
      <c r="J157" t="s">
        <v>1359</v>
      </c>
    </row>
    <row r="158" spans="1:10">
      <c r="A158" t="s">
        <v>283</v>
      </c>
      <c r="B158">
        <v>4935</v>
      </c>
      <c r="C158">
        <v>40</v>
      </c>
      <c r="D158">
        <v>1</v>
      </c>
      <c r="E158">
        <v>91</v>
      </c>
      <c r="F158">
        <v>59</v>
      </c>
      <c r="G158">
        <v>-48</v>
      </c>
      <c r="H158">
        <v>-41</v>
      </c>
      <c r="I158">
        <v>-35</v>
      </c>
      <c r="J158" t="s">
        <v>1033</v>
      </c>
    </row>
    <row r="159" spans="1:10">
      <c r="A159" t="s">
        <v>284</v>
      </c>
      <c r="B159">
        <v>4843</v>
      </c>
      <c r="C159">
        <v>39</v>
      </c>
      <c r="D159">
        <v>7</v>
      </c>
      <c r="E159">
        <v>94</v>
      </c>
      <c r="F159">
        <v>60</v>
      </c>
      <c r="G159">
        <v>-47</v>
      </c>
      <c r="H159">
        <v>-40</v>
      </c>
      <c r="I159">
        <v>-34</v>
      </c>
      <c r="J159" t="s">
        <v>1033</v>
      </c>
    </row>
    <row r="160" spans="1:10">
      <c r="A160" t="s">
        <v>285</v>
      </c>
      <c r="B160">
        <v>4820</v>
      </c>
      <c r="C160">
        <v>40</v>
      </c>
      <c r="D160">
        <v>4</v>
      </c>
      <c r="E160">
        <v>94</v>
      </c>
      <c r="F160">
        <v>60</v>
      </c>
      <c r="G160">
        <v>-47</v>
      </c>
      <c r="H160">
        <v>-40</v>
      </c>
      <c r="I160">
        <v>-34</v>
      </c>
      <c r="J160" t="s">
        <v>1033</v>
      </c>
    </row>
    <row r="161" spans="1:10">
      <c r="A161" t="s">
        <v>286</v>
      </c>
      <c r="B161">
        <v>4238</v>
      </c>
      <c r="C161">
        <v>38</v>
      </c>
      <c r="D161">
        <v>3</v>
      </c>
      <c r="E161">
        <v>98</v>
      </c>
      <c r="F161">
        <v>68</v>
      </c>
      <c r="G161">
        <v>-11</v>
      </c>
      <c r="H161">
        <v>-4</v>
      </c>
      <c r="I161">
        <v>2</v>
      </c>
      <c r="J161" t="s">
        <v>1033</v>
      </c>
    </row>
    <row r="162" spans="1:10">
      <c r="A162" t="s">
        <v>287</v>
      </c>
      <c r="B162">
        <v>9927</v>
      </c>
      <c r="C162">
        <v>39</v>
      </c>
      <c r="D162">
        <v>-14</v>
      </c>
      <c r="E162">
        <v>81</v>
      </c>
      <c r="F162">
        <v>51</v>
      </c>
      <c r="G162">
        <v>-71</v>
      </c>
      <c r="H162">
        <v>-64</v>
      </c>
      <c r="I162">
        <v>-58</v>
      </c>
      <c r="J162" t="s">
        <v>1359</v>
      </c>
    </row>
    <row r="163" spans="1:10">
      <c r="A163" t="s">
        <v>288</v>
      </c>
      <c r="B163">
        <v>5364</v>
      </c>
      <c r="C163">
        <v>39</v>
      </c>
      <c r="D163">
        <v>1</v>
      </c>
      <c r="E163">
        <v>88</v>
      </c>
      <c r="F163">
        <v>60</v>
      </c>
      <c r="G163">
        <v>-37</v>
      </c>
      <c r="H163">
        <v>-30</v>
      </c>
      <c r="I163">
        <v>-24</v>
      </c>
      <c r="J163" t="s">
        <v>1033</v>
      </c>
    </row>
    <row r="164" spans="1:10">
      <c r="A164" t="s">
        <v>289</v>
      </c>
      <c r="B164">
        <v>4684</v>
      </c>
      <c r="C164">
        <v>38</v>
      </c>
      <c r="D164">
        <v>5</v>
      </c>
      <c r="E164">
        <v>94</v>
      </c>
      <c r="F164">
        <v>62</v>
      </c>
      <c r="G164">
        <v>-37</v>
      </c>
      <c r="H164">
        <v>-30</v>
      </c>
      <c r="I164">
        <v>-24</v>
      </c>
      <c r="J164" t="s">
        <v>1033</v>
      </c>
    </row>
    <row r="165" spans="1:10">
      <c r="A165" t="s">
        <v>290</v>
      </c>
      <c r="B165">
        <v>4038</v>
      </c>
      <c r="C165">
        <v>40</v>
      </c>
      <c r="D165">
        <v>-2</v>
      </c>
      <c r="E165">
        <v>93</v>
      </c>
      <c r="F165">
        <v>62</v>
      </c>
      <c r="G165">
        <v>-36</v>
      </c>
      <c r="H165">
        <v>-29</v>
      </c>
      <c r="I165">
        <v>-23</v>
      </c>
      <c r="J165" t="s">
        <v>1033</v>
      </c>
    </row>
    <row r="166" spans="1:10">
      <c r="A166" t="s">
        <v>291</v>
      </c>
      <c r="B166">
        <v>5761</v>
      </c>
      <c r="C166">
        <v>37</v>
      </c>
      <c r="D166">
        <v>6</v>
      </c>
      <c r="E166">
        <v>90</v>
      </c>
      <c r="F166">
        <v>60</v>
      </c>
      <c r="G166">
        <v>-40</v>
      </c>
      <c r="H166">
        <v>-33</v>
      </c>
      <c r="I166">
        <v>-27</v>
      </c>
      <c r="J166" t="s">
        <v>1033</v>
      </c>
    </row>
    <row r="167" spans="1:10">
      <c r="A167" t="s">
        <v>292</v>
      </c>
      <c r="B167">
        <v>10</v>
      </c>
      <c r="C167">
        <v>41</v>
      </c>
      <c r="D167">
        <v>12</v>
      </c>
      <c r="E167">
        <v>84</v>
      </c>
      <c r="F167">
        <v>72</v>
      </c>
      <c r="G167">
        <v>29</v>
      </c>
      <c r="H167">
        <v>36</v>
      </c>
      <c r="I167">
        <v>42</v>
      </c>
      <c r="J167" t="s">
        <v>1359</v>
      </c>
    </row>
    <row r="168" spans="1:10">
      <c r="A168" t="s">
        <v>293</v>
      </c>
      <c r="B168">
        <v>19</v>
      </c>
      <c r="C168">
        <v>41</v>
      </c>
      <c r="D168">
        <v>6</v>
      </c>
      <c r="E168">
        <v>88</v>
      </c>
      <c r="F168">
        <v>72</v>
      </c>
      <c r="G168">
        <v>23</v>
      </c>
      <c r="H168">
        <v>30</v>
      </c>
      <c r="I168">
        <v>36</v>
      </c>
      <c r="J168" t="s">
        <v>1359</v>
      </c>
    </row>
    <row r="169" spans="1:10">
      <c r="A169" t="s">
        <v>294</v>
      </c>
      <c r="B169">
        <v>14</v>
      </c>
      <c r="C169">
        <v>41</v>
      </c>
      <c r="D169">
        <v>7</v>
      </c>
      <c r="E169">
        <v>84</v>
      </c>
      <c r="F169">
        <v>73</v>
      </c>
      <c r="G169">
        <v>35</v>
      </c>
      <c r="H169">
        <v>42</v>
      </c>
      <c r="I169">
        <v>48</v>
      </c>
      <c r="J169" t="s">
        <v>1359</v>
      </c>
    </row>
    <row r="170" spans="1:10">
      <c r="A170" t="s">
        <v>295</v>
      </c>
      <c r="B170">
        <v>10</v>
      </c>
      <c r="C170">
        <v>41</v>
      </c>
      <c r="D170">
        <v>9</v>
      </c>
      <c r="E170">
        <v>85</v>
      </c>
      <c r="F170">
        <v>72</v>
      </c>
      <c r="G170">
        <v>26</v>
      </c>
      <c r="H170">
        <v>32</v>
      </c>
      <c r="I170">
        <v>39</v>
      </c>
      <c r="J170" t="s">
        <v>1359</v>
      </c>
    </row>
    <row r="171" spans="1:10">
      <c r="A171" t="s">
        <v>296</v>
      </c>
      <c r="B171">
        <v>397</v>
      </c>
      <c r="C171">
        <v>41</v>
      </c>
      <c r="D171">
        <v>9</v>
      </c>
      <c r="E171">
        <v>84</v>
      </c>
      <c r="F171">
        <v>71</v>
      </c>
      <c r="G171">
        <v>22</v>
      </c>
      <c r="H171">
        <v>29</v>
      </c>
      <c r="I171">
        <v>36</v>
      </c>
      <c r="J171" t="s">
        <v>1359</v>
      </c>
    </row>
    <row r="172" spans="1:10">
      <c r="A172" t="s">
        <v>297</v>
      </c>
      <c r="B172">
        <v>197</v>
      </c>
      <c r="C172">
        <v>41</v>
      </c>
      <c r="D172">
        <v>7</v>
      </c>
      <c r="E172">
        <v>86</v>
      </c>
      <c r="F172">
        <v>73</v>
      </c>
      <c r="G172">
        <v>30</v>
      </c>
      <c r="H172">
        <v>37</v>
      </c>
      <c r="I172">
        <v>44</v>
      </c>
      <c r="J172" t="s">
        <v>1359</v>
      </c>
    </row>
    <row r="173" spans="1:10">
      <c r="A173" t="s">
        <v>298</v>
      </c>
      <c r="B173">
        <v>850</v>
      </c>
      <c r="C173">
        <v>41</v>
      </c>
      <c r="D173">
        <v>2</v>
      </c>
      <c r="E173">
        <v>85</v>
      </c>
      <c r="F173">
        <v>71</v>
      </c>
      <c r="G173">
        <v>22</v>
      </c>
      <c r="H173">
        <v>29</v>
      </c>
      <c r="I173">
        <v>35</v>
      </c>
      <c r="J173" t="s">
        <v>1359</v>
      </c>
    </row>
    <row r="174" spans="1:10">
      <c r="A174" t="s">
        <v>299</v>
      </c>
      <c r="B174">
        <v>197</v>
      </c>
      <c r="C174">
        <v>42</v>
      </c>
      <c r="D174">
        <v>8</v>
      </c>
      <c r="E174">
        <v>88</v>
      </c>
      <c r="F174">
        <v>71</v>
      </c>
      <c r="G174">
        <v>16</v>
      </c>
      <c r="H174">
        <v>22</v>
      </c>
      <c r="I174">
        <v>29</v>
      </c>
      <c r="J174" t="s">
        <v>1359</v>
      </c>
    </row>
    <row r="175" spans="1:10">
      <c r="A175" t="s">
        <v>300</v>
      </c>
      <c r="B175">
        <v>28</v>
      </c>
      <c r="C175">
        <v>39</v>
      </c>
      <c r="D175">
        <v>18</v>
      </c>
      <c r="E175">
        <v>89</v>
      </c>
      <c r="F175">
        <v>75</v>
      </c>
      <c r="G175">
        <v>39</v>
      </c>
      <c r="H175">
        <v>46</v>
      </c>
      <c r="I175">
        <v>52</v>
      </c>
      <c r="J175" t="s">
        <v>1359</v>
      </c>
    </row>
    <row r="176" spans="1:10">
      <c r="A176" t="s">
        <v>301</v>
      </c>
      <c r="B176">
        <v>78</v>
      </c>
      <c r="C176">
        <v>39</v>
      </c>
      <c r="D176">
        <v>14</v>
      </c>
      <c r="E176">
        <v>89</v>
      </c>
      <c r="F176">
        <v>74</v>
      </c>
      <c r="G176">
        <v>33</v>
      </c>
      <c r="H176">
        <v>40</v>
      </c>
      <c r="I176">
        <v>46</v>
      </c>
      <c r="J176" t="s">
        <v>1359</v>
      </c>
    </row>
    <row r="177" spans="1:10">
      <c r="A177" t="s">
        <v>1031</v>
      </c>
      <c r="B177">
        <v>283</v>
      </c>
      <c r="C177">
        <v>38</v>
      </c>
      <c r="D177">
        <v>18</v>
      </c>
      <c r="E177">
        <v>91</v>
      </c>
      <c r="F177">
        <v>74</v>
      </c>
      <c r="G177">
        <v>30</v>
      </c>
      <c r="H177">
        <v>37</v>
      </c>
      <c r="I177">
        <v>43</v>
      </c>
      <c r="J177" t="s">
        <v>1359</v>
      </c>
    </row>
    <row r="178" spans="1:10">
      <c r="A178" t="s">
        <v>1030</v>
      </c>
      <c r="B178">
        <v>66</v>
      </c>
      <c r="C178">
        <v>38</v>
      </c>
      <c r="D178">
        <v>20</v>
      </c>
      <c r="E178">
        <v>92</v>
      </c>
      <c r="F178">
        <v>76</v>
      </c>
      <c r="G178">
        <v>41</v>
      </c>
      <c r="H178">
        <v>48</v>
      </c>
      <c r="I178">
        <v>54</v>
      </c>
      <c r="J178" t="s">
        <v>1359</v>
      </c>
    </row>
    <row r="179" spans="1:10">
      <c r="A179" t="s">
        <v>302</v>
      </c>
      <c r="B179">
        <v>20</v>
      </c>
      <c r="C179">
        <v>29</v>
      </c>
      <c r="D179">
        <v>35</v>
      </c>
      <c r="E179">
        <v>90</v>
      </c>
      <c r="F179">
        <v>78</v>
      </c>
      <c r="G179">
        <v>57</v>
      </c>
      <c r="H179">
        <v>64</v>
      </c>
      <c r="I179">
        <v>70</v>
      </c>
      <c r="J179" t="s">
        <v>1359</v>
      </c>
    </row>
    <row r="180" spans="1:10">
      <c r="A180" t="s">
        <v>303</v>
      </c>
      <c r="B180">
        <v>17</v>
      </c>
      <c r="C180">
        <v>26</v>
      </c>
      <c r="D180">
        <v>44</v>
      </c>
      <c r="E180">
        <v>91</v>
      </c>
      <c r="F180">
        <v>76</v>
      </c>
      <c r="G180">
        <v>42</v>
      </c>
      <c r="H180">
        <v>49</v>
      </c>
      <c r="I180">
        <v>55</v>
      </c>
      <c r="J180" t="s">
        <v>1359</v>
      </c>
    </row>
    <row r="181" spans="1:10">
      <c r="A181" t="s">
        <v>304</v>
      </c>
      <c r="B181">
        <v>10</v>
      </c>
      <c r="C181">
        <v>28</v>
      </c>
      <c r="D181">
        <v>42</v>
      </c>
      <c r="E181">
        <v>90</v>
      </c>
      <c r="F181">
        <v>78</v>
      </c>
      <c r="G181">
        <v>57</v>
      </c>
      <c r="H181">
        <v>64</v>
      </c>
      <c r="I181">
        <v>70</v>
      </c>
      <c r="J181" t="s">
        <v>1032</v>
      </c>
    </row>
    <row r="182" spans="1:10">
      <c r="A182" t="s">
        <v>305</v>
      </c>
      <c r="B182">
        <v>31</v>
      </c>
      <c r="C182">
        <v>29</v>
      </c>
      <c r="D182">
        <v>37</v>
      </c>
      <c r="E182">
        <v>90</v>
      </c>
      <c r="F182">
        <v>77</v>
      </c>
      <c r="G182">
        <v>51</v>
      </c>
      <c r="H182">
        <v>58</v>
      </c>
      <c r="I182">
        <v>64</v>
      </c>
      <c r="J182" t="s">
        <v>1032</v>
      </c>
    </row>
    <row r="183" spans="1:10">
      <c r="A183" t="s">
        <v>306</v>
      </c>
      <c r="B183">
        <v>10</v>
      </c>
      <c r="C183">
        <v>26</v>
      </c>
      <c r="D183">
        <v>50</v>
      </c>
      <c r="E183">
        <v>90</v>
      </c>
      <c r="F183">
        <v>78</v>
      </c>
      <c r="G183">
        <v>57</v>
      </c>
      <c r="H183">
        <v>64</v>
      </c>
      <c r="I183">
        <v>70</v>
      </c>
      <c r="J183" t="s">
        <v>1032</v>
      </c>
    </row>
    <row r="184" spans="1:10">
      <c r="A184" t="s">
        <v>307</v>
      </c>
      <c r="B184">
        <v>15</v>
      </c>
      <c r="C184">
        <v>26</v>
      </c>
      <c r="D184">
        <v>47</v>
      </c>
      <c r="E184">
        <v>93</v>
      </c>
      <c r="F184">
        <v>77</v>
      </c>
      <c r="G184">
        <v>46</v>
      </c>
      <c r="H184">
        <v>53</v>
      </c>
      <c r="I184">
        <v>59</v>
      </c>
      <c r="J184" t="s">
        <v>1359</v>
      </c>
    </row>
    <row r="185" spans="1:10">
      <c r="A185" t="s">
        <v>308</v>
      </c>
      <c r="B185">
        <v>25</v>
      </c>
      <c r="C185">
        <v>27</v>
      </c>
      <c r="D185">
        <v>42</v>
      </c>
      <c r="E185">
        <v>90</v>
      </c>
      <c r="F185">
        <v>78</v>
      </c>
      <c r="G185">
        <v>57</v>
      </c>
      <c r="H185">
        <v>64</v>
      </c>
      <c r="I185">
        <v>70</v>
      </c>
      <c r="J185" t="s">
        <v>1359</v>
      </c>
    </row>
    <row r="186" spans="1:10">
      <c r="A186" t="s">
        <v>309</v>
      </c>
      <c r="B186">
        <v>152</v>
      </c>
      <c r="C186">
        <v>29</v>
      </c>
      <c r="D186">
        <v>33</v>
      </c>
      <c r="E186">
        <v>92</v>
      </c>
      <c r="F186">
        <v>77</v>
      </c>
      <c r="G186">
        <v>47</v>
      </c>
      <c r="H186">
        <v>54</v>
      </c>
      <c r="I186">
        <v>60</v>
      </c>
      <c r="J186" t="s">
        <v>1359</v>
      </c>
    </row>
    <row r="187" spans="1:10">
      <c r="A187" t="s">
        <v>310</v>
      </c>
      <c r="B187">
        <v>7</v>
      </c>
      <c r="C187">
        <v>25</v>
      </c>
      <c r="D187">
        <v>52</v>
      </c>
      <c r="E187">
        <v>90</v>
      </c>
      <c r="F187">
        <v>78</v>
      </c>
      <c r="G187">
        <v>57</v>
      </c>
      <c r="H187">
        <v>64</v>
      </c>
      <c r="I187">
        <v>70</v>
      </c>
      <c r="J187" t="s">
        <v>1032</v>
      </c>
    </row>
    <row r="188" spans="1:10">
      <c r="A188" t="s">
        <v>311</v>
      </c>
      <c r="B188">
        <v>26</v>
      </c>
      <c r="C188">
        <v>30</v>
      </c>
      <c r="D188">
        <v>32</v>
      </c>
      <c r="E188">
        <v>93</v>
      </c>
      <c r="F188">
        <v>77</v>
      </c>
      <c r="G188">
        <v>46</v>
      </c>
      <c r="H188">
        <v>53</v>
      </c>
      <c r="I188">
        <v>59</v>
      </c>
      <c r="J188" t="s">
        <v>1359</v>
      </c>
    </row>
    <row r="189" spans="1:10">
      <c r="A189" t="s">
        <v>312</v>
      </c>
      <c r="B189">
        <v>80</v>
      </c>
      <c r="C189">
        <v>30</v>
      </c>
      <c r="D189">
        <v>34</v>
      </c>
      <c r="E189">
        <v>95</v>
      </c>
      <c r="F189">
        <v>76</v>
      </c>
      <c r="G189">
        <v>36</v>
      </c>
      <c r="H189">
        <v>43</v>
      </c>
      <c r="I189">
        <v>49</v>
      </c>
      <c r="J189" t="s">
        <v>1359</v>
      </c>
    </row>
    <row r="190" spans="1:10">
      <c r="A190" t="s">
        <v>313</v>
      </c>
      <c r="B190">
        <v>16</v>
      </c>
      <c r="C190">
        <v>30</v>
      </c>
      <c r="D190">
        <v>39</v>
      </c>
      <c r="E190">
        <v>92</v>
      </c>
      <c r="F190">
        <v>78</v>
      </c>
      <c r="G190">
        <v>54</v>
      </c>
      <c r="H190">
        <v>61</v>
      </c>
      <c r="I190">
        <v>67</v>
      </c>
      <c r="J190" t="s">
        <v>1359</v>
      </c>
    </row>
    <row r="191" spans="1:10">
      <c r="A191" t="s">
        <v>314</v>
      </c>
      <c r="B191">
        <v>4</v>
      </c>
      <c r="C191">
        <v>24</v>
      </c>
      <c r="D191">
        <v>58</v>
      </c>
      <c r="E191">
        <v>89</v>
      </c>
      <c r="F191">
        <v>79</v>
      </c>
      <c r="G191">
        <v>66</v>
      </c>
      <c r="H191">
        <v>73</v>
      </c>
      <c r="I191">
        <v>79</v>
      </c>
      <c r="J191" t="s">
        <v>1032</v>
      </c>
    </row>
    <row r="192" spans="1:10">
      <c r="A192" t="s">
        <v>315</v>
      </c>
      <c r="B192">
        <v>214</v>
      </c>
      <c r="C192">
        <v>28</v>
      </c>
      <c r="D192">
        <v>41</v>
      </c>
      <c r="E192">
        <v>91</v>
      </c>
      <c r="F192">
        <v>76</v>
      </c>
      <c r="G192">
        <v>42</v>
      </c>
      <c r="H192">
        <v>49</v>
      </c>
      <c r="I192">
        <v>55</v>
      </c>
      <c r="J192" t="s">
        <v>1359</v>
      </c>
    </row>
    <row r="193" spans="1:10">
      <c r="A193" t="s">
        <v>316</v>
      </c>
      <c r="B193">
        <v>15</v>
      </c>
      <c r="C193">
        <v>28</v>
      </c>
      <c r="D193">
        <v>43</v>
      </c>
      <c r="E193">
        <v>91</v>
      </c>
      <c r="F193">
        <v>79</v>
      </c>
      <c r="G193">
        <v>62</v>
      </c>
      <c r="H193">
        <v>69</v>
      </c>
      <c r="I193">
        <v>75</v>
      </c>
      <c r="J193" t="s">
        <v>1359</v>
      </c>
    </row>
    <row r="194" spans="1:10">
      <c r="A194" t="s">
        <v>317</v>
      </c>
      <c r="B194">
        <v>11</v>
      </c>
      <c r="C194">
        <v>25</v>
      </c>
      <c r="D194">
        <v>50</v>
      </c>
      <c r="E194">
        <v>90</v>
      </c>
      <c r="F194">
        <v>77</v>
      </c>
      <c r="G194">
        <v>51</v>
      </c>
      <c r="H194">
        <v>58</v>
      </c>
      <c r="I194">
        <v>64</v>
      </c>
      <c r="J194" t="s">
        <v>1032</v>
      </c>
    </row>
    <row r="195" spans="1:10">
      <c r="A195" t="s">
        <v>318</v>
      </c>
      <c r="B195">
        <v>8</v>
      </c>
      <c r="C195">
        <v>25</v>
      </c>
      <c r="D195">
        <v>48</v>
      </c>
      <c r="E195">
        <v>89</v>
      </c>
      <c r="F195">
        <v>77</v>
      </c>
      <c r="G195">
        <v>52</v>
      </c>
      <c r="H195">
        <v>59</v>
      </c>
      <c r="I195">
        <v>65</v>
      </c>
      <c r="J195" t="s">
        <v>1032</v>
      </c>
    </row>
    <row r="196" spans="1:10">
      <c r="A196" t="s">
        <v>319</v>
      </c>
      <c r="B196">
        <v>10</v>
      </c>
      <c r="C196">
        <v>25</v>
      </c>
      <c r="D196">
        <v>49</v>
      </c>
      <c r="E196">
        <v>91</v>
      </c>
      <c r="F196">
        <v>78</v>
      </c>
      <c r="G196">
        <v>56</v>
      </c>
      <c r="H196">
        <v>59</v>
      </c>
      <c r="I196">
        <v>65</v>
      </c>
      <c r="J196" t="s">
        <v>1032</v>
      </c>
    </row>
    <row r="197" spans="1:10">
      <c r="A197" t="s">
        <v>320</v>
      </c>
      <c r="B197">
        <v>200</v>
      </c>
      <c r="C197">
        <v>30</v>
      </c>
      <c r="D197">
        <v>31</v>
      </c>
      <c r="E197">
        <v>93</v>
      </c>
      <c r="F197">
        <v>77</v>
      </c>
      <c r="G197">
        <v>46</v>
      </c>
      <c r="H197">
        <v>53</v>
      </c>
      <c r="I197">
        <v>59</v>
      </c>
      <c r="J197" t="s">
        <v>1359</v>
      </c>
    </row>
    <row r="198" spans="1:10">
      <c r="A198" t="s">
        <v>321</v>
      </c>
      <c r="B198">
        <v>90</v>
      </c>
      <c r="C198">
        <v>29</v>
      </c>
      <c r="D198">
        <v>34</v>
      </c>
      <c r="E198">
        <v>93</v>
      </c>
      <c r="F198">
        <v>77</v>
      </c>
      <c r="G198">
        <v>46</v>
      </c>
      <c r="H198">
        <v>53</v>
      </c>
      <c r="I198">
        <v>59</v>
      </c>
      <c r="J198" t="s">
        <v>1359</v>
      </c>
    </row>
    <row r="199" spans="1:10">
      <c r="A199" t="s">
        <v>322</v>
      </c>
      <c r="B199">
        <v>100</v>
      </c>
      <c r="C199">
        <v>28</v>
      </c>
      <c r="D199">
        <v>42</v>
      </c>
      <c r="E199">
        <v>93</v>
      </c>
      <c r="F199">
        <v>76</v>
      </c>
      <c r="G199">
        <v>39</v>
      </c>
      <c r="H199">
        <v>46</v>
      </c>
      <c r="I199">
        <v>52</v>
      </c>
      <c r="J199" t="s">
        <v>1359</v>
      </c>
    </row>
    <row r="200" spans="1:10">
      <c r="A200" t="s">
        <v>323</v>
      </c>
      <c r="B200">
        <v>18</v>
      </c>
      <c r="C200">
        <v>30</v>
      </c>
      <c r="D200">
        <v>37</v>
      </c>
      <c r="E200">
        <v>89</v>
      </c>
      <c r="F200">
        <v>79</v>
      </c>
      <c r="G200">
        <v>66</v>
      </c>
      <c r="H200">
        <v>73</v>
      </c>
      <c r="I200">
        <v>79</v>
      </c>
      <c r="J200" t="s">
        <v>1032</v>
      </c>
    </row>
    <row r="201" spans="1:10">
      <c r="A201" t="s">
        <v>324</v>
      </c>
      <c r="B201">
        <v>30</v>
      </c>
      <c r="C201">
        <v>30</v>
      </c>
      <c r="D201">
        <v>32</v>
      </c>
      <c r="E201">
        <v>92</v>
      </c>
      <c r="F201">
        <v>78</v>
      </c>
      <c r="G201">
        <v>54</v>
      </c>
      <c r="H201">
        <v>61</v>
      </c>
      <c r="I201">
        <v>67</v>
      </c>
      <c r="J201" t="s">
        <v>1032</v>
      </c>
    </row>
    <row r="202" spans="1:10">
      <c r="A202" t="s">
        <v>325</v>
      </c>
      <c r="B202">
        <v>10</v>
      </c>
      <c r="C202">
        <v>29</v>
      </c>
      <c r="D202">
        <v>35</v>
      </c>
      <c r="E202">
        <v>89</v>
      </c>
      <c r="F202">
        <v>78</v>
      </c>
      <c r="G202">
        <v>59</v>
      </c>
      <c r="H202">
        <v>66</v>
      </c>
      <c r="I202">
        <v>72</v>
      </c>
      <c r="J202" t="s">
        <v>1359</v>
      </c>
    </row>
    <row r="203" spans="1:10">
      <c r="A203" t="s">
        <v>326</v>
      </c>
      <c r="B203">
        <v>11</v>
      </c>
      <c r="C203">
        <v>28</v>
      </c>
      <c r="D203">
        <v>47</v>
      </c>
      <c r="E203">
        <v>93</v>
      </c>
      <c r="F203">
        <v>79</v>
      </c>
      <c r="G203">
        <v>59</v>
      </c>
      <c r="H203">
        <v>66</v>
      </c>
      <c r="I203">
        <v>72</v>
      </c>
      <c r="J203" t="s">
        <v>1359</v>
      </c>
    </row>
    <row r="204" spans="1:10">
      <c r="A204" t="s">
        <v>327</v>
      </c>
      <c r="B204">
        <v>55</v>
      </c>
      <c r="C204">
        <v>28</v>
      </c>
      <c r="D204">
        <v>38</v>
      </c>
      <c r="E204">
        <v>93</v>
      </c>
      <c r="F204">
        <v>76</v>
      </c>
      <c r="G204">
        <v>39</v>
      </c>
      <c r="H204">
        <v>46</v>
      </c>
      <c r="I204">
        <v>52</v>
      </c>
      <c r="J204" t="s">
        <v>1359</v>
      </c>
    </row>
    <row r="205" spans="1:10">
      <c r="A205" t="s">
        <v>328</v>
      </c>
      <c r="B205">
        <v>30</v>
      </c>
      <c r="C205">
        <v>27</v>
      </c>
      <c r="D205">
        <v>43</v>
      </c>
      <c r="E205">
        <v>92</v>
      </c>
      <c r="F205">
        <v>79</v>
      </c>
      <c r="G205">
        <v>61</v>
      </c>
      <c r="H205">
        <v>68</v>
      </c>
      <c r="I205">
        <v>74</v>
      </c>
      <c r="J205" t="s">
        <v>1359</v>
      </c>
    </row>
    <row r="206" spans="1:10">
      <c r="A206" t="s">
        <v>329</v>
      </c>
      <c r="B206">
        <v>55</v>
      </c>
      <c r="C206">
        <v>30</v>
      </c>
      <c r="D206">
        <v>28</v>
      </c>
      <c r="E206">
        <v>93</v>
      </c>
      <c r="F206">
        <v>76</v>
      </c>
      <c r="G206">
        <v>39</v>
      </c>
      <c r="H206">
        <v>46</v>
      </c>
      <c r="I206">
        <v>52</v>
      </c>
      <c r="J206" t="s">
        <v>1359</v>
      </c>
    </row>
    <row r="207" spans="1:10">
      <c r="A207" t="s">
        <v>330</v>
      </c>
      <c r="B207">
        <v>19</v>
      </c>
      <c r="C207">
        <v>28</v>
      </c>
      <c r="D207">
        <v>40</v>
      </c>
      <c r="E207">
        <v>91</v>
      </c>
      <c r="F207">
        <v>77</v>
      </c>
      <c r="G207">
        <v>49</v>
      </c>
      <c r="H207">
        <v>56</v>
      </c>
      <c r="I207">
        <v>62</v>
      </c>
      <c r="J207" t="s">
        <v>1359</v>
      </c>
    </row>
    <row r="208" spans="1:10">
      <c r="A208" t="s">
        <v>331</v>
      </c>
      <c r="B208">
        <v>85</v>
      </c>
      <c r="C208">
        <v>30</v>
      </c>
      <c r="D208">
        <v>33</v>
      </c>
      <c r="E208">
        <v>90</v>
      </c>
      <c r="F208">
        <v>78</v>
      </c>
      <c r="G208">
        <v>57</v>
      </c>
      <c r="H208">
        <v>64</v>
      </c>
      <c r="I208">
        <v>70</v>
      </c>
      <c r="J208" t="s">
        <v>1359</v>
      </c>
    </row>
    <row r="209" spans="1:12">
      <c r="A209" t="s">
        <v>332</v>
      </c>
      <c r="B209">
        <v>13</v>
      </c>
      <c r="C209">
        <v>27</v>
      </c>
      <c r="D209">
        <v>43</v>
      </c>
      <c r="E209">
        <v>90</v>
      </c>
      <c r="F209">
        <v>78</v>
      </c>
      <c r="G209">
        <v>57</v>
      </c>
      <c r="H209">
        <v>64</v>
      </c>
      <c r="I209">
        <v>70</v>
      </c>
      <c r="J209" t="s">
        <v>1359</v>
      </c>
    </row>
    <row r="210" spans="1:12">
      <c r="A210" t="s">
        <v>333</v>
      </c>
      <c r="B210">
        <v>15</v>
      </c>
      <c r="C210">
        <v>26</v>
      </c>
      <c r="D210">
        <v>47</v>
      </c>
      <c r="E210">
        <v>90</v>
      </c>
      <c r="F210">
        <v>78</v>
      </c>
      <c r="G210">
        <v>57</v>
      </c>
      <c r="H210">
        <v>64</v>
      </c>
      <c r="I210">
        <v>70</v>
      </c>
      <c r="J210" t="s">
        <v>1359</v>
      </c>
    </row>
    <row r="211" spans="1:12">
      <c r="A211" t="s">
        <v>2769</v>
      </c>
      <c r="B211">
        <v>223</v>
      </c>
      <c r="C211">
        <v>31</v>
      </c>
      <c r="D211">
        <v>30</v>
      </c>
      <c r="E211">
        <v>95</v>
      </c>
      <c r="F211">
        <v>76</v>
      </c>
      <c r="G211">
        <v>49</v>
      </c>
      <c r="H211">
        <v>56</v>
      </c>
      <c r="I211">
        <v>62</v>
      </c>
      <c r="J211" t="s">
        <v>1359</v>
      </c>
      <c r="K211" s="190"/>
      <c r="L211"/>
    </row>
    <row r="212" spans="1:12">
      <c r="A212" t="s">
        <v>334</v>
      </c>
      <c r="B212">
        <v>466</v>
      </c>
      <c r="C212">
        <v>32</v>
      </c>
      <c r="D212">
        <v>25</v>
      </c>
      <c r="E212">
        <v>94</v>
      </c>
      <c r="F212">
        <v>76</v>
      </c>
      <c r="G212">
        <v>37</v>
      </c>
      <c r="H212">
        <v>44</v>
      </c>
      <c r="I212">
        <v>50</v>
      </c>
      <c r="J212" t="s">
        <v>1359</v>
      </c>
    </row>
    <row r="213" spans="1:12">
      <c r="A213" t="s">
        <v>335</v>
      </c>
      <c r="B213">
        <v>802</v>
      </c>
      <c r="C213">
        <v>34</v>
      </c>
      <c r="D213">
        <v>25</v>
      </c>
      <c r="E213">
        <v>92</v>
      </c>
      <c r="F213">
        <v>75</v>
      </c>
      <c r="G213">
        <v>34</v>
      </c>
      <c r="H213">
        <v>41</v>
      </c>
      <c r="I213">
        <v>47</v>
      </c>
      <c r="J213" t="s">
        <v>1359</v>
      </c>
    </row>
    <row r="214" spans="1:12">
      <c r="A214" t="s">
        <v>336</v>
      </c>
      <c r="B214">
        <v>1010</v>
      </c>
      <c r="C214">
        <v>33</v>
      </c>
      <c r="D214">
        <v>23</v>
      </c>
      <c r="E214">
        <v>91</v>
      </c>
      <c r="F214">
        <v>74</v>
      </c>
      <c r="G214">
        <v>30</v>
      </c>
      <c r="H214">
        <v>37</v>
      </c>
      <c r="I214">
        <v>43</v>
      </c>
      <c r="J214" t="s">
        <v>1359</v>
      </c>
    </row>
    <row r="215" spans="1:12">
      <c r="A215" t="s">
        <v>337</v>
      </c>
      <c r="B215">
        <v>148</v>
      </c>
      <c r="C215">
        <v>33</v>
      </c>
      <c r="D215">
        <v>25</v>
      </c>
      <c r="E215">
        <v>94</v>
      </c>
      <c r="F215">
        <v>76</v>
      </c>
      <c r="G215">
        <v>37</v>
      </c>
      <c r="H215">
        <v>44</v>
      </c>
      <c r="I215">
        <v>50</v>
      </c>
      <c r="J215" t="s">
        <v>1359</v>
      </c>
    </row>
    <row r="216" spans="1:12">
      <c r="A216" t="s">
        <v>338</v>
      </c>
      <c r="B216">
        <v>20</v>
      </c>
      <c r="C216">
        <v>31</v>
      </c>
      <c r="D216">
        <v>34</v>
      </c>
      <c r="E216">
        <v>91</v>
      </c>
      <c r="F216">
        <v>79</v>
      </c>
      <c r="G216">
        <v>62</v>
      </c>
      <c r="H216">
        <v>69</v>
      </c>
      <c r="I216">
        <v>75</v>
      </c>
      <c r="J216" t="s">
        <v>1359</v>
      </c>
    </row>
    <row r="217" spans="1:12">
      <c r="A217" t="s">
        <v>339</v>
      </c>
      <c r="B217">
        <v>232</v>
      </c>
      <c r="C217">
        <v>32</v>
      </c>
      <c r="D217">
        <v>27</v>
      </c>
      <c r="E217">
        <v>94</v>
      </c>
      <c r="F217">
        <v>76</v>
      </c>
      <c r="G217">
        <v>37</v>
      </c>
      <c r="H217">
        <v>44</v>
      </c>
      <c r="I217">
        <v>50</v>
      </c>
      <c r="J217" t="s">
        <v>1359</v>
      </c>
    </row>
    <row r="218" spans="1:12">
      <c r="A218" t="s">
        <v>340</v>
      </c>
      <c r="B218">
        <v>971</v>
      </c>
      <c r="C218">
        <v>32</v>
      </c>
      <c r="D218">
        <v>24</v>
      </c>
      <c r="E218">
        <v>93</v>
      </c>
      <c r="F218">
        <v>76</v>
      </c>
      <c r="G218">
        <v>39</v>
      </c>
      <c r="H218">
        <v>46</v>
      </c>
      <c r="I218">
        <v>53</v>
      </c>
      <c r="J218" t="s">
        <v>1359</v>
      </c>
    </row>
    <row r="219" spans="1:12">
      <c r="A219" t="s">
        <v>341</v>
      </c>
      <c r="B219">
        <v>397</v>
      </c>
      <c r="C219">
        <v>32</v>
      </c>
      <c r="D219">
        <v>27</v>
      </c>
      <c r="E219">
        <v>93</v>
      </c>
      <c r="F219">
        <v>75</v>
      </c>
      <c r="G219">
        <v>33</v>
      </c>
      <c r="H219">
        <v>40</v>
      </c>
      <c r="I219">
        <v>46</v>
      </c>
      <c r="J219" t="s">
        <v>1359</v>
      </c>
    </row>
    <row r="220" spans="1:12">
      <c r="A220" t="s">
        <v>342</v>
      </c>
      <c r="B220">
        <v>710</v>
      </c>
      <c r="C220">
        <v>34</v>
      </c>
      <c r="D220">
        <v>22</v>
      </c>
      <c r="E220">
        <v>93</v>
      </c>
      <c r="F220">
        <v>76</v>
      </c>
      <c r="G220">
        <v>39</v>
      </c>
      <c r="H220">
        <v>46</v>
      </c>
      <c r="I220">
        <v>52</v>
      </c>
      <c r="J220" t="s">
        <v>1359</v>
      </c>
    </row>
    <row r="221" spans="1:12">
      <c r="A221" t="s">
        <v>343</v>
      </c>
      <c r="B221">
        <v>310</v>
      </c>
      <c r="C221">
        <v>32</v>
      </c>
      <c r="D221">
        <v>25</v>
      </c>
      <c r="E221">
        <v>93</v>
      </c>
      <c r="F221">
        <v>76</v>
      </c>
      <c r="G221">
        <v>39</v>
      </c>
      <c r="H221">
        <v>46</v>
      </c>
      <c r="I221">
        <v>52</v>
      </c>
      <c r="J221" t="s">
        <v>1359</v>
      </c>
    </row>
    <row r="222" spans="1:12">
      <c r="A222" t="s">
        <v>344</v>
      </c>
      <c r="B222">
        <v>1275</v>
      </c>
      <c r="C222">
        <v>34</v>
      </c>
      <c r="D222">
        <v>21</v>
      </c>
      <c r="E222">
        <v>91</v>
      </c>
      <c r="F222">
        <v>74</v>
      </c>
      <c r="G222">
        <v>30</v>
      </c>
      <c r="H222">
        <v>37</v>
      </c>
      <c r="I222">
        <v>43</v>
      </c>
      <c r="J222" t="s">
        <v>1359</v>
      </c>
    </row>
    <row r="223" spans="1:12">
      <c r="A223" t="s">
        <v>345</v>
      </c>
      <c r="B223">
        <v>980</v>
      </c>
      <c r="C223">
        <v>33</v>
      </c>
      <c r="D223">
        <v>22</v>
      </c>
      <c r="E223">
        <v>90</v>
      </c>
      <c r="F223">
        <v>75</v>
      </c>
      <c r="G223">
        <v>38</v>
      </c>
      <c r="H223">
        <v>45</v>
      </c>
      <c r="I223">
        <v>51</v>
      </c>
      <c r="J223" t="s">
        <v>1359</v>
      </c>
    </row>
    <row r="224" spans="1:12">
      <c r="A224" t="s">
        <v>346</v>
      </c>
      <c r="B224">
        <v>693</v>
      </c>
      <c r="C224">
        <v>33</v>
      </c>
      <c r="D224">
        <v>23</v>
      </c>
      <c r="E224">
        <v>91</v>
      </c>
      <c r="F224">
        <v>75</v>
      </c>
      <c r="G224">
        <v>36</v>
      </c>
      <c r="H224">
        <v>43</v>
      </c>
      <c r="I224">
        <v>49</v>
      </c>
      <c r="J224" t="s">
        <v>1359</v>
      </c>
    </row>
    <row r="225" spans="1:10">
      <c r="A225" t="s">
        <v>347</v>
      </c>
      <c r="B225">
        <v>354</v>
      </c>
      <c r="C225">
        <v>32</v>
      </c>
      <c r="D225">
        <v>27</v>
      </c>
      <c r="E225">
        <v>94</v>
      </c>
      <c r="F225">
        <v>75</v>
      </c>
      <c r="G225">
        <v>31</v>
      </c>
      <c r="H225">
        <v>38</v>
      </c>
      <c r="I225">
        <v>44</v>
      </c>
      <c r="J225" t="s">
        <v>1359</v>
      </c>
    </row>
    <row r="226" spans="1:10">
      <c r="A226" t="s">
        <v>348</v>
      </c>
      <c r="B226">
        <v>1068</v>
      </c>
      <c r="C226">
        <v>34</v>
      </c>
      <c r="D226">
        <v>26</v>
      </c>
      <c r="E226">
        <v>91</v>
      </c>
      <c r="F226">
        <v>74</v>
      </c>
      <c r="G226">
        <v>30</v>
      </c>
      <c r="H226">
        <v>37</v>
      </c>
      <c r="I226">
        <v>43</v>
      </c>
      <c r="J226" t="s">
        <v>1359</v>
      </c>
    </row>
    <row r="227" spans="1:10">
      <c r="A227" t="s">
        <v>349</v>
      </c>
      <c r="B227">
        <v>292</v>
      </c>
      <c r="C227">
        <v>31</v>
      </c>
      <c r="D227">
        <v>30</v>
      </c>
      <c r="E227">
        <v>95</v>
      </c>
      <c r="F227">
        <v>77</v>
      </c>
      <c r="G227">
        <v>42</v>
      </c>
      <c r="H227">
        <v>49</v>
      </c>
      <c r="I227">
        <v>55</v>
      </c>
      <c r="J227" t="s">
        <v>1359</v>
      </c>
    </row>
    <row r="228" spans="1:10">
      <c r="A228" t="s">
        <v>350</v>
      </c>
      <c r="B228">
        <v>637</v>
      </c>
      <c r="C228">
        <v>34</v>
      </c>
      <c r="D228">
        <v>21</v>
      </c>
      <c r="E228">
        <v>94</v>
      </c>
      <c r="F228">
        <v>74</v>
      </c>
      <c r="G228">
        <v>25</v>
      </c>
      <c r="H228">
        <v>32</v>
      </c>
      <c r="I228">
        <v>38</v>
      </c>
      <c r="J228" t="s">
        <v>1359</v>
      </c>
    </row>
    <row r="229" spans="1:10">
      <c r="A229" t="s">
        <v>351</v>
      </c>
      <c r="B229">
        <v>49</v>
      </c>
      <c r="C229">
        <v>32</v>
      </c>
      <c r="D229">
        <v>29</v>
      </c>
      <c r="E229">
        <v>93</v>
      </c>
      <c r="F229">
        <v>76</v>
      </c>
      <c r="G229">
        <v>39</v>
      </c>
      <c r="H229">
        <v>46</v>
      </c>
      <c r="I229">
        <v>52</v>
      </c>
      <c r="J229" t="s">
        <v>1359</v>
      </c>
    </row>
    <row r="230" spans="1:10">
      <c r="A230" t="s">
        <v>352</v>
      </c>
      <c r="B230">
        <v>233</v>
      </c>
      <c r="C230">
        <v>31</v>
      </c>
      <c r="D230">
        <v>34</v>
      </c>
      <c r="E230">
        <v>94</v>
      </c>
      <c r="F230">
        <v>77</v>
      </c>
      <c r="G230">
        <v>44</v>
      </c>
      <c r="H230">
        <v>51</v>
      </c>
      <c r="I230">
        <v>57</v>
      </c>
      <c r="J230" t="s">
        <v>1359</v>
      </c>
    </row>
    <row r="231" spans="1:10">
      <c r="A231" t="s">
        <v>353</v>
      </c>
      <c r="B231">
        <v>203</v>
      </c>
      <c r="C231">
        <v>30</v>
      </c>
      <c r="D231">
        <v>31</v>
      </c>
      <c r="E231">
        <v>94</v>
      </c>
      <c r="F231">
        <v>76</v>
      </c>
      <c r="G231">
        <v>37</v>
      </c>
      <c r="H231">
        <v>44</v>
      </c>
      <c r="I231">
        <v>50</v>
      </c>
      <c r="J231" t="s">
        <v>1359</v>
      </c>
    </row>
    <row r="232" spans="1:10">
      <c r="A232" t="s">
        <v>354</v>
      </c>
      <c r="B232">
        <v>151</v>
      </c>
      <c r="C232">
        <v>31</v>
      </c>
      <c r="D232">
        <v>32</v>
      </c>
      <c r="E232">
        <v>94</v>
      </c>
      <c r="F232">
        <v>76</v>
      </c>
      <c r="G232">
        <v>37</v>
      </c>
      <c r="H232">
        <v>44</v>
      </c>
      <c r="I232">
        <v>50</v>
      </c>
      <c r="J232" t="s">
        <v>1359</v>
      </c>
    </row>
    <row r="233" spans="1:10">
      <c r="A233" t="s">
        <v>355</v>
      </c>
      <c r="B233">
        <v>34</v>
      </c>
      <c r="C233">
        <v>21</v>
      </c>
      <c r="D233">
        <v>61</v>
      </c>
      <c r="E233">
        <v>90</v>
      </c>
      <c r="F233">
        <v>72</v>
      </c>
      <c r="G233">
        <v>19</v>
      </c>
      <c r="H233">
        <v>26</v>
      </c>
      <c r="I233">
        <v>32</v>
      </c>
      <c r="J233" t="s">
        <v>1359</v>
      </c>
    </row>
    <row r="234" spans="1:10">
      <c r="A234" t="s">
        <v>356</v>
      </c>
      <c r="B234">
        <v>36</v>
      </c>
      <c r="C234">
        <v>19</v>
      </c>
      <c r="D234">
        <v>63</v>
      </c>
      <c r="E234">
        <v>84</v>
      </c>
      <c r="F234">
        <v>74</v>
      </c>
      <c r="G234">
        <v>41</v>
      </c>
      <c r="H234">
        <v>48</v>
      </c>
      <c r="I234">
        <v>54</v>
      </c>
      <c r="J234" t="s">
        <v>1032</v>
      </c>
    </row>
    <row r="235" spans="1:10">
      <c r="A235" t="s">
        <v>357</v>
      </c>
      <c r="B235">
        <v>16</v>
      </c>
      <c r="C235">
        <v>21</v>
      </c>
      <c r="D235">
        <v>63</v>
      </c>
      <c r="E235">
        <v>88</v>
      </c>
      <c r="F235">
        <v>73</v>
      </c>
      <c r="G235">
        <v>29</v>
      </c>
      <c r="H235">
        <v>36</v>
      </c>
      <c r="I235">
        <v>42</v>
      </c>
      <c r="J235" t="s">
        <v>1032</v>
      </c>
    </row>
    <row r="236" spans="1:10">
      <c r="A236" t="s">
        <v>358</v>
      </c>
      <c r="B236">
        <v>56</v>
      </c>
      <c r="C236">
        <v>20</v>
      </c>
      <c r="D236">
        <v>61</v>
      </c>
      <c r="E236">
        <v>88</v>
      </c>
      <c r="F236">
        <v>74</v>
      </c>
      <c r="G236">
        <v>35</v>
      </c>
      <c r="H236">
        <v>42</v>
      </c>
      <c r="I236">
        <v>48</v>
      </c>
      <c r="J236" t="s">
        <v>1359</v>
      </c>
    </row>
    <row r="237" spans="1:10">
      <c r="A237" t="s">
        <v>359</v>
      </c>
      <c r="B237">
        <v>18</v>
      </c>
      <c r="C237">
        <v>21</v>
      </c>
      <c r="D237">
        <v>68</v>
      </c>
      <c r="E237">
        <v>85</v>
      </c>
      <c r="F237">
        <v>74</v>
      </c>
      <c r="G237">
        <v>40</v>
      </c>
      <c r="H237">
        <v>47</v>
      </c>
      <c r="I237">
        <v>53</v>
      </c>
      <c r="J237" t="s">
        <v>1032</v>
      </c>
    </row>
    <row r="238" spans="1:10">
      <c r="A238" t="s">
        <v>360</v>
      </c>
      <c r="B238">
        <v>148</v>
      </c>
      <c r="C238">
        <v>21</v>
      </c>
      <c r="D238">
        <v>62</v>
      </c>
      <c r="E238">
        <v>85</v>
      </c>
      <c r="F238">
        <v>74</v>
      </c>
      <c r="G238">
        <v>40</v>
      </c>
      <c r="H238">
        <v>47</v>
      </c>
      <c r="I238">
        <v>53</v>
      </c>
      <c r="J238" t="s">
        <v>1032</v>
      </c>
    </row>
    <row r="239" spans="1:10">
      <c r="A239" t="s">
        <v>361</v>
      </c>
      <c r="B239">
        <v>449</v>
      </c>
      <c r="C239">
        <v>21</v>
      </c>
      <c r="D239">
        <v>61</v>
      </c>
      <c r="E239">
        <v>87</v>
      </c>
      <c r="F239">
        <v>73</v>
      </c>
      <c r="G239">
        <v>30</v>
      </c>
      <c r="H239">
        <v>37</v>
      </c>
      <c r="I239">
        <v>43</v>
      </c>
      <c r="J239" t="s">
        <v>1359</v>
      </c>
    </row>
    <row r="240" spans="1:10">
      <c r="A240" t="s">
        <v>362</v>
      </c>
      <c r="B240">
        <v>900</v>
      </c>
      <c r="C240">
        <v>21</v>
      </c>
      <c r="D240">
        <v>59</v>
      </c>
      <c r="E240">
        <v>85</v>
      </c>
      <c r="F240">
        <v>72</v>
      </c>
      <c r="G240">
        <v>28</v>
      </c>
      <c r="H240">
        <v>35</v>
      </c>
      <c r="I240">
        <v>41</v>
      </c>
      <c r="J240" t="s">
        <v>1032</v>
      </c>
    </row>
    <row r="241" spans="1:10">
      <c r="A241" t="s">
        <v>363</v>
      </c>
      <c r="B241">
        <v>2838</v>
      </c>
      <c r="C241">
        <v>43</v>
      </c>
      <c r="D241">
        <v>9</v>
      </c>
      <c r="E241">
        <v>94</v>
      </c>
      <c r="F241">
        <v>63</v>
      </c>
      <c r="G241">
        <v>-34</v>
      </c>
      <c r="H241">
        <v>-27</v>
      </c>
      <c r="I241">
        <v>-21</v>
      </c>
      <c r="J241" t="s">
        <v>1033</v>
      </c>
    </row>
    <row r="242" spans="1:10">
      <c r="A242" t="s">
        <v>364</v>
      </c>
      <c r="B242">
        <v>4150</v>
      </c>
      <c r="C242">
        <v>42</v>
      </c>
      <c r="D242">
        <v>2</v>
      </c>
      <c r="E242">
        <v>90</v>
      </c>
      <c r="F242">
        <v>62</v>
      </c>
      <c r="G242">
        <v>-22</v>
      </c>
      <c r="H242">
        <v>-15</v>
      </c>
      <c r="I242">
        <v>-9</v>
      </c>
      <c r="J242" t="s">
        <v>1033</v>
      </c>
    </row>
    <row r="243" spans="1:10">
      <c r="A243" t="s">
        <v>365</v>
      </c>
      <c r="B243">
        <v>3002</v>
      </c>
      <c r="C243">
        <v>47</v>
      </c>
      <c r="D243">
        <v>-1</v>
      </c>
      <c r="E243">
        <v>86</v>
      </c>
      <c r="F243">
        <v>61</v>
      </c>
      <c r="G243">
        <v>-30</v>
      </c>
      <c r="H243">
        <v>-23</v>
      </c>
      <c r="I243">
        <v>-17</v>
      </c>
      <c r="J243" t="s">
        <v>1359</v>
      </c>
    </row>
    <row r="244" spans="1:10">
      <c r="A244" t="s">
        <v>366</v>
      </c>
      <c r="B244">
        <v>4741</v>
      </c>
      <c r="C244">
        <v>43</v>
      </c>
      <c r="D244">
        <v>-6</v>
      </c>
      <c r="E244">
        <v>89</v>
      </c>
      <c r="F244">
        <v>60</v>
      </c>
      <c r="G244">
        <v>-39</v>
      </c>
      <c r="H244">
        <v>-32</v>
      </c>
      <c r="I244">
        <v>-26</v>
      </c>
      <c r="J244" t="s">
        <v>1033</v>
      </c>
    </row>
    <row r="245" spans="1:10">
      <c r="A245" t="s">
        <v>367</v>
      </c>
      <c r="B245">
        <v>1196</v>
      </c>
      <c r="C245">
        <v>46</v>
      </c>
      <c r="D245">
        <v>15</v>
      </c>
      <c r="E245">
        <v>93</v>
      </c>
      <c r="F245">
        <v>64</v>
      </c>
      <c r="G245">
        <v>-28</v>
      </c>
      <c r="H245">
        <v>-21</v>
      </c>
      <c r="I245">
        <v>-14</v>
      </c>
      <c r="J245" t="s">
        <v>1033</v>
      </c>
    </row>
    <row r="246" spans="1:10">
      <c r="A246" t="s">
        <v>368</v>
      </c>
      <c r="B246">
        <v>1413</v>
      </c>
      <c r="C246">
        <v>46</v>
      </c>
      <c r="D246">
        <v>15</v>
      </c>
      <c r="E246">
        <v>93</v>
      </c>
      <c r="F246">
        <v>64</v>
      </c>
      <c r="G246">
        <v>-28</v>
      </c>
      <c r="H246">
        <v>-21</v>
      </c>
      <c r="I246">
        <v>-15</v>
      </c>
      <c r="J246" t="s">
        <v>1033</v>
      </c>
    </row>
    <row r="247" spans="1:10">
      <c r="A247" t="s">
        <v>369</v>
      </c>
      <c r="B247">
        <v>2583</v>
      </c>
      <c r="C247">
        <v>46</v>
      </c>
      <c r="D247">
        <v>0</v>
      </c>
      <c r="E247">
        <v>87</v>
      </c>
      <c r="F247">
        <v>62</v>
      </c>
      <c r="G247">
        <v>-27</v>
      </c>
      <c r="H247">
        <v>-20</v>
      </c>
      <c r="I247">
        <v>-13</v>
      </c>
      <c r="J247" t="s">
        <v>1359</v>
      </c>
    </row>
    <row r="248" spans="1:10">
      <c r="A248" t="s">
        <v>370</v>
      </c>
      <c r="B248">
        <v>2996</v>
      </c>
      <c r="C248">
        <v>43</v>
      </c>
      <c r="D248">
        <v>5</v>
      </c>
      <c r="E248">
        <v>96</v>
      </c>
      <c r="F248">
        <v>62</v>
      </c>
      <c r="G248">
        <v>-42</v>
      </c>
      <c r="H248">
        <v>-35</v>
      </c>
      <c r="I248">
        <v>-29</v>
      </c>
      <c r="J248" t="s">
        <v>1033</v>
      </c>
    </row>
    <row r="249" spans="1:10">
      <c r="A249" t="s">
        <v>371</v>
      </c>
      <c r="B249">
        <v>3317</v>
      </c>
      <c r="C249">
        <v>47</v>
      </c>
      <c r="D249">
        <v>7</v>
      </c>
      <c r="E249">
        <v>84</v>
      </c>
      <c r="F249">
        <v>61</v>
      </c>
      <c r="G249">
        <v>-27</v>
      </c>
      <c r="H249">
        <v>-20</v>
      </c>
      <c r="I249">
        <v>-14</v>
      </c>
      <c r="J249" t="s">
        <v>1359</v>
      </c>
    </row>
    <row r="250" spans="1:10">
      <c r="A250" t="s">
        <v>372</v>
      </c>
      <c r="B250">
        <v>4454</v>
      </c>
      <c r="C250">
        <v>43</v>
      </c>
      <c r="D250">
        <v>0</v>
      </c>
      <c r="E250">
        <v>90</v>
      </c>
      <c r="F250">
        <v>60</v>
      </c>
      <c r="G250">
        <v>-41</v>
      </c>
      <c r="H250">
        <v>-34</v>
      </c>
      <c r="I250">
        <v>-28</v>
      </c>
      <c r="J250" t="s">
        <v>1033</v>
      </c>
    </row>
    <row r="251" spans="1:10">
      <c r="A251" t="s">
        <v>373</v>
      </c>
      <c r="B251">
        <v>4150</v>
      </c>
      <c r="C251">
        <v>42</v>
      </c>
      <c r="D251">
        <v>2</v>
      </c>
      <c r="E251">
        <v>95</v>
      </c>
      <c r="F251">
        <v>61</v>
      </c>
      <c r="G251">
        <v>-44</v>
      </c>
      <c r="H251">
        <v>-37</v>
      </c>
      <c r="I251">
        <v>-31</v>
      </c>
      <c r="J251" t="s">
        <v>1033</v>
      </c>
    </row>
    <row r="252" spans="1:10">
      <c r="A252" t="s">
        <v>374</v>
      </c>
      <c r="B252">
        <v>706</v>
      </c>
      <c r="C252">
        <v>41</v>
      </c>
      <c r="D252">
        <v>-1</v>
      </c>
      <c r="E252">
        <v>91</v>
      </c>
      <c r="F252">
        <v>76</v>
      </c>
      <c r="G252">
        <v>42</v>
      </c>
      <c r="H252">
        <v>49</v>
      </c>
      <c r="I252">
        <v>55</v>
      </c>
      <c r="J252" t="s">
        <v>1359</v>
      </c>
    </row>
    <row r="253" spans="1:10">
      <c r="A253" t="s">
        <v>375</v>
      </c>
      <c r="B253">
        <v>453</v>
      </c>
      <c r="C253">
        <v>38</v>
      </c>
      <c r="D253">
        <v>10</v>
      </c>
      <c r="E253">
        <v>93</v>
      </c>
      <c r="F253">
        <v>77</v>
      </c>
      <c r="G253">
        <v>46</v>
      </c>
      <c r="H253">
        <v>53</v>
      </c>
      <c r="I253">
        <v>59</v>
      </c>
      <c r="J253" t="s">
        <v>1359</v>
      </c>
    </row>
    <row r="254" spans="1:10">
      <c r="A254" t="s">
        <v>376</v>
      </c>
      <c r="B254">
        <v>875</v>
      </c>
      <c r="C254">
        <v>40</v>
      </c>
      <c r="D254">
        <v>-2</v>
      </c>
      <c r="E254">
        <v>90</v>
      </c>
      <c r="F254">
        <v>74</v>
      </c>
      <c r="G254">
        <v>31</v>
      </c>
      <c r="H254">
        <v>38</v>
      </c>
      <c r="I254">
        <v>44</v>
      </c>
      <c r="J254" t="s">
        <v>1359</v>
      </c>
    </row>
    <row r="255" spans="1:10">
      <c r="A255" t="s">
        <v>377</v>
      </c>
      <c r="B255">
        <v>411</v>
      </c>
      <c r="C255">
        <v>37</v>
      </c>
      <c r="D255">
        <v>7</v>
      </c>
      <c r="E255">
        <v>93</v>
      </c>
      <c r="F255">
        <v>77</v>
      </c>
      <c r="G255">
        <v>46</v>
      </c>
      <c r="H255">
        <v>53</v>
      </c>
      <c r="I255">
        <v>59</v>
      </c>
      <c r="J255" t="s">
        <v>1359</v>
      </c>
    </row>
    <row r="256" spans="1:10">
      <c r="A256" t="s">
        <v>378</v>
      </c>
      <c r="B256">
        <v>754</v>
      </c>
      <c r="C256">
        <v>40</v>
      </c>
      <c r="D256">
        <v>2</v>
      </c>
      <c r="E256">
        <v>92</v>
      </c>
      <c r="F256">
        <v>74</v>
      </c>
      <c r="G256">
        <v>28</v>
      </c>
      <c r="H256">
        <v>35</v>
      </c>
      <c r="I256">
        <v>41</v>
      </c>
      <c r="J256" t="s">
        <v>1359</v>
      </c>
    </row>
    <row r="257" spans="1:10">
      <c r="A257" t="s">
        <v>379</v>
      </c>
      <c r="B257">
        <v>593</v>
      </c>
      <c r="C257">
        <v>41</v>
      </c>
      <c r="D257">
        <v>3</v>
      </c>
      <c r="E257">
        <v>89</v>
      </c>
      <c r="F257">
        <v>73</v>
      </c>
      <c r="G257">
        <v>27</v>
      </c>
      <c r="H257">
        <v>34</v>
      </c>
      <c r="I257">
        <v>40</v>
      </c>
      <c r="J257" t="s">
        <v>1359</v>
      </c>
    </row>
    <row r="258" spans="1:10">
      <c r="A258" t="s">
        <v>380</v>
      </c>
      <c r="B258">
        <v>620</v>
      </c>
      <c r="C258">
        <v>41</v>
      </c>
      <c r="D258">
        <v>0</v>
      </c>
      <c r="E258">
        <v>91</v>
      </c>
      <c r="F258">
        <v>73</v>
      </c>
      <c r="G258">
        <v>24</v>
      </c>
      <c r="H258">
        <v>31</v>
      </c>
      <c r="I258">
        <v>37</v>
      </c>
      <c r="J258" t="s">
        <v>1359</v>
      </c>
    </row>
    <row r="259" spans="1:10">
      <c r="A259" t="s">
        <v>381</v>
      </c>
      <c r="B259">
        <v>668</v>
      </c>
      <c r="C259">
        <v>42</v>
      </c>
      <c r="D259">
        <v>-1</v>
      </c>
      <c r="E259">
        <v>88</v>
      </c>
      <c r="F259">
        <v>73</v>
      </c>
      <c r="G259">
        <v>29</v>
      </c>
      <c r="H259">
        <v>36</v>
      </c>
      <c r="I259">
        <v>42</v>
      </c>
      <c r="J259" t="s">
        <v>1359</v>
      </c>
    </row>
    <row r="260" spans="1:10">
      <c r="A260" t="s">
        <v>382</v>
      </c>
      <c r="B260">
        <v>647</v>
      </c>
      <c r="C260">
        <v>41</v>
      </c>
      <c r="D260">
        <v>2</v>
      </c>
      <c r="E260">
        <v>91</v>
      </c>
      <c r="F260">
        <v>74</v>
      </c>
      <c r="G260">
        <v>30</v>
      </c>
      <c r="H260">
        <v>37</v>
      </c>
      <c r="I260">
        <v>43</v>
      </c>
      <c r="J260" t="s">
        <v>1032</v>
      </c>
    </row>
    <row r="261" spans="1:10">
      <c r="A261" t="s">
        <v>383</v>
      </c>
      <c r="B261">
        <v>696</v>
      </c>
      <c r="C261">
        <v>40</v>
      </c>
      <c r="D261">
        <v>1</v>
      </c>
      <c r="E261">
        <v>90</v>
      </c>
      <c r="F261">
        <v>74</v>
      </c>
      <c r="G261">
        <v>31</v>
      </c>
      <c r="H261">
        <v>38</v>
      </c>
      <c r="I261">
        <v>44</v>
      </c>
      <c r="J261" t="s">
        <v>1359</v>
      </c>
    </row>
    <row r="262" spans="1:10">
      <c r="A262" t="s">
        <v>384</v>
      </c>
      <c r="B262">
        <v>682</v>
      </c>
      <c r="C262">
        <v>39</v>
      </c>
      <c r="D262">
        <v>3</v>
      </c>
      <c r="E262">
        <v>91</v>
      </c>
      <c r="F262">
        <v>75</v>
      </c>
      <c r="G262">
        <v>36</v>
      </c>
      <c r="H262">
        <v>43</v>
      </c>
      <c r="I262">
        <v>49</v>
      </c>
      <c r="J262" t="s">
        <v>1359</v>
      </c>
    </row>
    <row r="263" spans="1:10">
      <c r="A263" t="s">
        <v>385</v>
      </c>
      <c r="B263">
        <v>785</v>
      </c>
      <c r="C263">
        <v>41</v>
      </c>
      <c r="D263">
        <v>-2</v>
      </c>
      <c r="E263">
        <v>90</v>
      </c>
      <c r="F263">
        <v>74</v>
      </c>
      <c r="G263">
        <v>31</v>
      </c>
      <c r="H263">
        <v>38</v>
      </c>
      <c r="I263">
        <v>43</v>
      </c>
      <c r="J263" t="s">
        <v>1359</v>
      </c>
    </row>
    <row r="264" spans="1:10">
      <c r="A264" t="s">
        <v>386</v>
      </c>
      <c r="C264">
        <v>42</v>
      </c>
      <c r="D264">
        <v>-2</v>
      </c>
      <c r="E264">
        <v>88</v>
      </c>
      <c r="F264">
        <v>74</v>
      </c>
      <c r="G264">
        <v>35</v>
      </c>
      <c r="H264">
        <v>42</v>
      </c>
      <c r="I264">
        <v>48</v>
      </c>
      <c r="J264" t="s">
        <v>1359</v>
      </c>
    </row>
    <row r="265" spans="1:10">
      <c r="A265" t="s">
        <v>387</v>
      </c>
      <c r="B265">
        <v>856</v>
      </c>
      <c r="C265">
        <v>42</v>
      </c>
      <c r="D265">
        <v>-4</v>
      </c>
      <c r="E265">
        <v>89</v>
      </c>
      <c r="F265">
        <v>73</v>
      </c>
      <c r="G265">
        <v>27</v>
      </c>
      <c r="H265">
        <v>34</v>
      </c>
      <c r="I265">
        <v>40</v>
      </c>
      <c r="J265" t="s">
        <v>1359</v>
      </c>
    </row>
    <row r="266" spans="1:10">
      <c r="A266" t="s">
        <v>388</v>
      </c>
      <c r="B266">
        <v>764</v>
      </c>
      <c r="C266">
        <v>41</v>
      </c>
      <c r="D266">
        <v>-2</v>
      </c>
      <c r="E266">
        <v>91</v>
      </c>
      <c r="F266">
        <v>75</v>
      </c>
      <c r="G266">
        <v>36</v>
      </c>
      <c r="H266">
        <v>43</v>
      </c>
      <c r="I266">
        <v>49</v>
      </c>
      <c r="J266" t="s">
        <v>1359</v>
      </c>
    </row>
    <row r="267" spans="1:10">
      <c r="A267" t="s">
        <v>389</v>
      </c>
      <c r="B267">
        <v>653</v>
      </c>
      <c r="C267">
        <v>42</v>
      </c>
      <c r="D267">
        <v>4</v>
      </c>
      <c r="E267">
        <v>89</v>
      </c>
      <c r="F267">
        <v>73</v>
      </c>
      <c r="G267">
        <v>27</v>
      </c>
      <c r="H267">
        <v>34</v>
      </c>
      <c r="I267">
        <v>40</v>
      </c>
      <c r="J267" t="s">
        <v>1359</v>
      </c>
    </row>
    <row r="268" spans="1:10">
      <c r="A268" t="s">
        <v>390</v>
      </c>
      <c r="B268">
        <v>541</v>
      </c>
      <c r="C268">
        <v>39</v>
      </c>
      <c r="D268">
        <v>4</v>
      </c>
      <c r="E268">
        <v>92</v>
      </c>
      <c r="F268">
        <v>75</v>
      </c>
      <c r="G268">
        <v>34</v>
      </c>
      <c r="H268">
        <v>41</v>
      </c>
      <c r="I268">
        <v>47</v>
      </c>
      <c r="J268" t="s">
        <v>1359</v>
      </c>
    </row>
    <row r="269" spans="1:10">
      <c r="A269" t="s">
        <v>391</v>
      </c>
      <c r="B269">
        <v>581</v>
      </c>
      <c r="C269">
        <v>41</v>
      </c>
      <c r="D269">
        <v>0</v>
      </c>
      <c r="E269">
        <v>90</v>
      </c>
      <c r="F269">
        <v>74</v>
      </c>
      <c r="G269">
        <v>31</v>
      </c>
      <c r="H269">
        <v>38</v>
      </c>
      <c r="I269">
        <v>43</v>
      </c>
      <c r="J269" t="s">
        <v>1359</v>
      </c>
    </row>
    <row r="270" spans="1:10">
      <c r="A270" t="s">
        <v>392</v>
      </c>
      <c r="B270">
        <v>629</v>
      </c>
      <c r="C270">
        <v>41</v>
      </c>
      <c r="D270">
        <v>1</v>
      </c>
      <c r="E270">
        <v>90</v>
      </c>
      <c r="F270">
        <v>74</v>
      </c>
      <c r="G270">
        <v>31</v>
      </c>
      <c r="H270">
        <v>38</v>
      </c>
      <c r="I270">
        <v>43</v>
      </c>
      <c r="J270" t="s">
        <v>1359</v>
      </c>
    </row>
    <row r="271" spans="1:10">
      <c r="A271" t="s">
        <v>393</v>
      </c>
      <c r="B271">
        <v>654</v>
      </c>
      <c r="C271">
        <v>41</v>
      </c>
      <c r="D271">
        <v>-2</v>
      </c>
      <c r="E271">
        <v>91</v>
      </c>
      <c r="F271">
        <v>75</v>
      </c>
      <c r="G271">
        <v>36</v>
      </c>
      <c r="H271">
        <v>43</v>
      </c>
      <c r="I271">
        <v>49</v>
      </c>
      <c r="J271" t="s">
        <v>1359</v>
      </c>
    </row>
    <row r="272" spans="1:10">
      <c r="A272" t="s">
        <v>394</v>
      </c>
      <c r="B272">
        <v>705</v>
      </c>
      <c r="C272">
        <v>40</v>
      </c>
      <c r="D272">
        <v>0</v>
      </c>
      <c r="E272">
        <v>92</v>
      </c>
      <c r="F272">
        <v>76</v>
      </c>
      <c r="G272">
        <v>41</v>
      </c>
      <c r="H272">
        <v>48</v>
      </c>
      <c r="I272">
        <v>54</v>
      </c>
      <c r="J272" t="s">
        <v>1359</v>
      </c>
    </row>
    <row r="273" spans="1:10">
      <c r="A273" t="s">
        <v>395</v>
      </c>
      <c r="B273">
        <v>738</v>
      </c>
      <c r="C273">
        <v>41</v>
      </c>
      <c r="D273">
        <v>1</v>
      </c>
      <c r="E273">
        <v>89</v>
      </c>
      <c r="F273">
        <v>73</v>
      </c>
      <c r="G273">
        <v>27</v>
      </c>
      <c r="H273">
        <v>34</v>
      </c>
      <c r="I273">
        <v>40</v>
      </c>
      <c r="J273" t="s">
        <v>1359</v>
      </c>
    </row>
    <row r="274" spans="1:10">
      <c r="A274" t="s">
        <v>396</v>
      </c>
      <c r="B274">
        <v>590</v>
      </c>
      <c r="C274">
        <v>41</v>
      </c>
      <c r="D274">
        <v>-3</v>
      </c>
      <c r="E274">
        <v>90</v>
      </c>
      <c r="F274">
        <v>74</v>
      </c>
      <c r="G274">
        <v>31</v>
      </c>
      <c r="H274">
        <v>38</v>
      </c>
      <c r="I274">
        <v>43</v>
      </c>
      <c r="J274" t="s">
        <v>1359</v>
      </c>
    </row>
    <row r="275" spans="1:10">
      <c r="A275" t="s">
        <v>397</v>
      </c>
      <c r="B275">
        <v>480</v>
      </c>
      <c r="C275">
        <v>38</v>
      </c>
      <c r="D275">
        <v>5</v>
      </c>
      <c r="E275">
        <v>92</v>
      </c>
      <c r="F275">
        <v>75</v>
      </c>
      <c r="G275">
        <v>34</v>
      </c>
      <c r="H275">
        <v>41</v>
      </c>
      <c r="I275">
        <v>47</v>
      </c>
      <c r="J275" t="s">
        <v>1359</v>
      </c>
    </row>
    <row r="276" spans="1:10">
      <c r="A276" t="s">
        <v>398</v>
      </c>
      <c r="B276">
        <v>663</v>
      </c>
      <c r="C276">
        <v>40</v>
      </c>
      <c r="D276">
        <v>-1</v>
      </c>
      <c r="E276">
        <v>89</v>
      </c>
      <c r="F276">
        <v>74</v>
      </c>
      <c r="G276">
        <v>33</v>
      </c>
      <c r="H276">
        <v>40</v>
      </c>
      <c r="I276">
        <v>46</v>
      </c>
      <c r="J276" t="s">
        <v>1359</v>
      </c>
    </row>
    <row r="277" spans="1:10">
      <c r="A277" t="s">
        <v>399</v>
      </c>
      <c r="B277">
        <v>768</v>
      </c>
      <c r="C277">
        <v>40</v>
      </c>
      <c r="D277">
        <v>2</v>
      </c>
      <c r="E277">
        <v>91</v>
      </c>
      <c r="F277">
        <v>75</v>
      </c>
      <c r="G277">
        <v>36</v>
      </c>
      <c r="H277">
        <v>43</v>
      </c>
      <c r="I277">
        <v>49</v>
      </c>
      <c r="J277" t="s">
        <v>1359</v>
      </c>
    </row>
    <row r="278" spans="1:10">
      <c r="A278" t="s">
        <v>400</v>
      </c>
      <c r="B278">
        <v>737</v>
      </c>
      <c r="C278">
        <v>40</v>
      </c>
      <c r="D278">
        <v>1</v>
      </c>
      <c r="E278">
        <v>91</v>
      </c>
      <c r="F278">
        <v>74</v>
      </c>
      <c r="G278">
        <v>30</v>
      </c>
      <c r="H278">
        <v>37</v>
      </c>
      <c r="I278">
        <v>42</v>
      </c>
      <c r="J278" t="s">
        <v>1359</v>
      </c>
    </row>
    <row r="279" spans="1:10">
      <c r="A279" t="s">
        <v>401</v>
      </c>
      <c r="B279">
        <v>741</v>
      </c>
      <c r="C279">
        <v>42</v>
      </c>
      <c r="D279">
        <v>-4</v>
      </c>
      <c r="E279">
        <v>88</v>
      </c>
      <c r="F279">
        <v>73</v>
      </c>
      <c r="G279">
        <v>29</v>
      </c>
      <c r="H279">
        <v>36</v>
      </c>
      <c r="I279">
        <v>41</v>
      </c>
      <c r="J279" t="s">
        <v>1359</v>
      </c>
    </row>
    <row r="280" spans="1:10">
      <c r="A280" t="s">
        <v>402</v>
      </c>
      <c r="B280">
        <v>641</v>
      </c>
      <c r="C280">
        <v>39</v>
      </c>
      <c r="D280">
        <v>2</v>
      </c>
      <c r="E280">
        <v>91</v>
      </c>
      <c r="F280">
        <v>75</v>
      </c>
      <c r="G280">
        <v>36</v>
      </c>
      <c r="H280">
        <v>43</v>
      </c>
      <c r="I280">
        <v>49</v>
      </c>
      <c r="J280" t="s">
        <v>1359</v>
      </c>
    </row>
    <row r="281" spans="1:10">
      <c r="A281" t="s">
        <v>403</v>
      </c>
      <c r="B281">
        <v>727</v>
      </c>
      <c r="C281">
        <v>42</v>
      </c>
      <c r="D281">
        <v>-3</v>
      </c>
      <c r="E281">
        <v>89</v>
      </c>
      <c r="F281">
        <v>74</v>
      </c>
      <c r="G281">
        <v>33</v>
      </c>
      <c r="H281">
        <v>40</v>
      </c>
      <c r="I281">
        <v>46</v>
      </c>
      <c r="J281" t="s">
        <v>1359</v>
      </c>
    </row>
    <row r="282" spans="1:10">
      <c r="A282" t="s">
        <v>404</v>
      </c>
      <c r="B282">
        <v>758</v>
      </c>
      <c r="C282">
        <v>41</v>
      </c>
      <c r="D282">
        <v>0</v>
      </c>
      <c r="E282">
        <v>88</v>
      </c>
      <c r="F282">
        <v>74</v>
      </c>
      <c r="G282">
        <v>35</v>
      </c>
      <c r="H282">
        <v>42</v>
      </c>
      <c r="I282">
        <v>48</v>
      </c>
      <c r="J282" t="s">
        <v>1359</v>
      </c>
    </row>
    <row r="283" spans="1:10">
      <c r="A283" t="s">
        <v>405</v>
      </c>
      <c r="B283">
        <v>919</v>
      </c>
      <c r="C283">
        <v>40</v>
      </c>
      <c r="D283">
        <v>6</v>
      </c>
      <c r="E283">
        <v>92</v>
      </c>
      <c r="F283">
        <v>75</v>
      </c>
      <c r="G283">
        <v>34</v>
      </c>
      <c r="H283">
        <v>41</v>
      </c>
      <c r="I283">
        <v>47</v>
      </c>
      <c r="J283" t="s">
        <v>1359</v>
      </c>
    </row>
    <row r="284" spans="1:10">
      <c r="A284" t="s">
        <v>406</v>
      </c>
      <c r="B284">
        <v>728</v>
      </c>
      <c r="C284">
        <v>38</v>
      </c>
      <c r="D284">
        <v>5</v>
      </c>
      <c r="E284">
        <v>92</v>
      </c>
      <c r="F284">
        <v>75</v>
      </c>
      <c r="G284">
        <v>34</v>
      </c>
      <c r="H284">
        <v>41</v>
      </c>
      <c r="I284">
        <v>47</v>
      </c>
      <c r="J284" t="s">
        <v>1359</v>
      </c>
    </row>
    <row r="285" spans="1:10">
      <c r="A285" t="s">
        <v>407</v>
      </c>
      <c r="B285">
        <v>846</v>
      </c>
      <c r="C285">
        <v>39</v>
      </c>
      <c r="D285">
        <v>5</v>
      </c>
      <c r="E285">
        <v>92</v>
      </c>
      <c r="F285">
        <v>75</v>
      </c>
      <c r="G285">
        <v>34</v>
      </c>
      <c r="H285">
        <v>41</v>
      </c>
      <c r="I285">
        <v>47</v>
      </c>
      <c r="J285" t="s">
        <v>1359</v>
      </c>
    </row>
    <row r="286" spans="1:10">
      <c r="A286" t="s">
        <v>408</v>
      </c>
      <c r="B286">
        <v>656</v>
      </c>
      <c r="C286">
        <v>39</v>
      </c>
      <c r="D286">
        <v>7</v>
      </c>
      <c r="E286">
        <v>92</v>
      </c>
      <c r="F286">
        <v>75</v>
      </c>
      <c r="G286">
        <v>34</v>
      </c>
      <c r="H286">
        <v>41</v>
      </c>
      <c r="I286">
        <v>47</v>
      </c>
      <c r="J286" t="s">
        <v>1359</v>
      </c>
    </row>
    <row r="287" spans="1:10">
      <c r="A287" t="s">
        <v>409</v>
      </c>
      <c r="B287">
        <v>799</v>
      </c>
      <c r="C287">
        <v>40</v>
      </c>
      <c r="D287">
        <v>3</v>
      </c>
      <c r="E287">
        <v>91</v>
      </c>
      <c r="F287">
        <v>74</v>
      </c>
      <c r="G287">
        <v>30</v>
      </c>
      <c r="H287">
        <v>37</v>
      </c>
      <c r="I287">
        <v>43</v>
      </c>
      <c r="J287" t="s">
        <v>1359</v>
      </c>
    </row>
    <row r="288" spans="1:10">
      <c r="A288" t="s">
        <v>410</v>
      </c>
      <c r="B288">
        <v>387</v>
      </c>
      <c r="C288">
        <v>38</v>
      </c>
      <c r="D288">
        <v>9</v>
      </c>
      <c r="E288">
        <v>92</v>
      </c>
      <c r="F288">
        <v>76</v>
      </c>
      <c r="G288">
        <v>41</v>
      </c>
      <c r="H288">
        <v>48</v>
      </c>
      <c r="I288">
        <v>54</v>
      </c>
      <c r="J288" t="s">
        <v>1359</v>
      </c>
    </row>
    <row r="289" spans="1:10">
      <c r="A289" t="s">
        <v>411</v>
      </c>
      <c r="B289">
        <v>815</v>
      </c>
      <c r="C289">
        <v>41</v>
      </c>
      <c r="D289">
        <v>2</v>
      </c>
      <c r="E289">
        <v>88</v>
      </c>
      <c r="F289">
        <v>73</v>
      </c>
      <c r="G289">
        <v>29</v>
      </c>
      <c r="H289">
        <v>36</v>
      </c>
      <c r="I289">
        <v>42</v>
      </c>
      <c r="J289" t="s">
        <v>1359</v>
      </c>
    </row>
    <row r="290" spans="1:10">
      <c r="A290" t="s">
        <v>412</v>
      </c>
      <c r="B290">
        <v>827</v>
      </c>
      <c r="C290">
        <v>41</v>
      </c>
      <c r="D290">
        <v>1</v>
      </c>
      <c r="E290">
        <v>89</v>
      </c>
      <c r="F290">
        <v>73</v>
      </c>
      <c r="G290">
        <v>27</v>
      </c>
      <c r="H290">
        <v>34</v>
      </c>
      <c r="I290">
        <v>40</v>
      </c>
      <c r="J290" t="s">
        <v>1359</v>
      </c>
    </row>
    <row r="291" spans="1:10">
      <c r="A291" t="s">
        <v>413</v>
      </c>
      <c r="B291">
        <v>644</v>
      </c>
      <c r="C291">
        <v>41</v>
      </c>
      <c r="D291">
        <v>2</v>
      </c>
      <c r="E291">
        <v>88</v>
      </c>
      <c r="F291">
        <v>73</v>
      </c>
      <c r="G291">
        <v>29</v>
      </c>
      <c r="H291">
        <v>36</v>
      </c>
      <c r="I291">
        <v>42</v>
      </c>
      <c r="J291" t="s">
        <v>1359</v>
      </c>
    </row>
    <row r="292" spans="1:10">
      <c r="A292" t="s">
        <v>414</v>
      </c>
      <c r="B292">
        <v>806</v>
      </c>
      <c r="C292">
        <v>40</v>
      </c>
      <c r="D292">
        <v>1</v>
      </c>
      <c r="E292">
        <v>89</v>
      </c>
      <c r="F292">
        <v>72</v>
      </c>
      <c r="G292">
        <v>21</v>
      </c>
      <c r="H292">
        <v>28</v>
      </c>
      <c r="I292">
        <v>34</v>
      </c>
      <c r="J292" t="s">
        <v>1359</v>
      </c>
    </row>
    <row r="293" spans="1:10">
      <c r="A293" t="s">
        <v>415</v>
      </c>
      <c r="B293">
        <v>807</v>
      </c>
      <c r="C293">
        <v>39</v>
      </c>
      <c r="D293">
        <v>3</v>
      </c>
      <c r="E293">
        <v>88</v>
      </c>
      <c r="F293">
        <v>74</v>
      </c>
      <c r="G293">
        <v>35</v>
      </c>
      <c r="H293">
        <v>42</v>
      </c>
      <c r="I293">
        <v>48</v>
      </c>
      <c r="J293" t="s">
        <v>1359</v>
      </c>
    </row>
    <row r="294" spans="1:10">
      <c r="A294" t="s">
        <v>416</v>
      </c>
      <c r="B294">
        <v>474</v>
      </c>
      <c r="C294">
        <v>38</v>
      </c>
      <c r="D294">
        <v>10</v>
      </c>
      <c r="E294">
        <v>93</v>
      </c>
      <c r="F294">
        <v>74</v>
      </c>
      <c r="G294">
        <v>27</v>
      </c>
      <c r="H294">
        <v>34</v>
      </c>
      <c r="I294">
        <v>40</v>
      </c>
      <c r="J294" t="s">
        <v>1359</v>
      </c>
    </row>
    <row r="295" spans="1:10">
      <c r="A295" t="s">
        <v>417</v>
      </c>
      <c r="B295">
        <v>830</v>
      </c>
      <c r="C295">
        <v>40</v>
      </c>
      <c r="D295">
        <v>0</v>
      </c>
      <c r="E295">
        <v>90</v>
      </c>
      <c r="F295">
        <v>73</v>
      </c>
      <c r="G295">
        <v>25</v>
      </c>
      <c r="H295">
        <v>32</v>
      </c>
      <c r="I295">
        <v>38</v>
      </c>
      <c r="J295" t="s">
        <v>1359</v>
      </c>
    </row>
    <row r="296" spans="1:10">
      <c r="A296" t="s">
        <v>418</v>
      </c>
      <c r="B296">
        <v>607</v>
      </c>
      <c r="C296">
        <v>40</v>
      </c>
      <c r="D296">
        <v>3</v>
      </c>
      <c r="E296">
        <v>90</v>
      </c>
      <c r="F296">
        <v>75</v>
      </c>
      <c r="G296">
        <v>38</v>
      </c>
      <c r="H296">
        <v>45</v>
      </c>
      <c r="I296">
        <v>51</v>
      </c>
      <c r="J296" t="s">
        <v>1359</v>
      </c>
    </row>
    <row r="297" spans="1:10">
      <c r="A297" t="s">
        <v>419</v>
      </c>
      <c r="B297">
        <v>812</v>
      </c>
      <c r="C297">
        <v>41</v>
      </c>
      <c r="D297">
        <v>3</v>
      </c>
      <c r="E297">
        <v>90</v>
      </c>
      <c r="F297">
        <v>74</v>
      </c>
      <c r="G297">
        <v>31</v>
      </c>
      <c r="H297">
        <v>38</v>
      </c>
      <c r="I297">
        <v>44</v>
      </c>
      <c r="J297" t="s">
        <v>1359</v>
      </c>
    </row>
    <row r="298" spans="1:10">
      <c r="A298" t="s">
        <v>420</v>
      </c>
      <c r="B298">
        <v>859</v>
      </c>
      <c r="C298">
        <v>40</v>
      </c>
      <c r="D298">
        <v>0</v>
      </c>
      <c r="E298">
        <v>90</v>
      </c>
      <c r="F298">
        <v>73</v>
      </c>
      <c r="G298">
        <v>31</v>
      </c>
      <c r="H298">
        <v>38</v>
      </c>
      <c r="I298">
        <v>44</v>
      </c>
      <c r="J298" t="s">
        <v>1359</v>
      </c>
    </row>
    <row r="299" spans="1:10">
      <c r="A299" t="s">
        <v>421</v>
      </c>
      <c r="B299">
        <v>937</v>
      </c>
      <c r="C299">
        <v>40</v>
      </c>
      <c r="D299">
        <v>2</v>
      </c>
      <c r="E299">
        <v>90</v>
      </c>
      <c r="F299">
        <v>73</v>
      </c>
      <c r="G299">
        <v>25</v>
      </c>
      <c r="H299">
        <v>32</v>
      </c>
      <c r="I299">
        <v>38</v>
      </c>
      <c r="J299" t="s">
        <v>1359</v>
      </c>
    </row>
    <row r="300" spans="1:10">
      <c r="A300" t="s">
        <v>422</v>
      </c>
      <c r="B300">
        <v>737</v>
      </c>
      <c r="C300">
        <v>40</v>
      </c>
      <c r="D300">
        <v>-1</v>
      </c>
      <c r="E300">
        <v>88</v>
      </c>
      <c r="F300">
        <v>73</v>
      </c>
      <c r="G300">
        <v>29</v>
      </c>
      <c r="H300">
        <v>36</v>
      </c>
      <c r="I300">
        <v>42</v>
      </c>
      <c r="J300" t="s">
        <v>1359</v>
      </c>
    </row>
    <row r="301" spans="1:10">
      <c r="A301" t="s">
        <v>423</v>
      </c>
      <c r="B301">
        <v>810</v>
      </c>
      <c r="C301">
        <v>40</v>
      </c>
      <c r="D301">
        <v>4</v>
      </c>
      <c r="E301">
        <v>89</v>
      </c>
      <c r="F301">
        <v>75</v>
      </c>
      <c r="G301">
        <v>39</v>
      </c>
      <c r="H301">
        <v>46</v>
      </c>
      <c r="I301">
        <v>52</v>
      </c>
      <c r="J301" t="s">
        <v>1359</v>
      </c>
    </row>
    <row r="302" spans="1:10">
      <c r="A302" t="s">
        <v>424</v>
      </c>
      <c r="B302">
        <v>1140</v>
      </c>
      <c r="C302">
        <v>39</v>
      </c>
      <c r="D302">
        <v>2</v>
      </c>
      <c r="E302">
        <v>90</v>
      </c>
      <c r="F302">
        <v>74</v>
      </c>
      <c r="G302">
        <v>31</v>
      </c>
      <c r="H302">
        <v>48</v>
      </c>
      <c r="I302">
        <v>44</v>
      </c>
      <c r="J302" t="s">
        <v>1359</v>
      </c>
    </row>
    <row r="303" spans="1:10">
      <c r="A303" t="s">
        <v>425</v>
      </c>
      <c r="B303">
        <v>804</v>
      </c>
      <c r="C303">
        <v>39</v>
      </c>
      <c r="D303">
        <v>3</v>
      </c>
      <c r="E303">
        <v>91</v>
      </c>
      <c r="F303">
        <v>74</v>
      </c>
      <c r="G303">
        <v>30</v>
      </c>
      <c r="H303">
        <v>37</v>
      </c>
      <c r="I303">
        <v>43</v>
      </c>
      <c r="J303" t="s">
        <v>1359</v>
      </c>
    </row>
    <row r="304" spans="1:10">
      <c r="A304" t="s">
        <v>426</v>
      </c>
      <c r="B304">
        <v>774</v>
      </c>
      <c r="C304">
        <v>41</v>
      </c>
      <c r="D304">
        <v>3</v>
      </c>
      <c r="E304">
        <v>87</v>
      </c>
      <c r="F304">
        <v>72</v>
      </c>
      <c r="G304">
        <v>24</v>
      </c>
      <c r="H304">
        <v>31</v>
      </c>
      <c r="I304">
        <v>32</v>
      </c>
      <c r="J304" t="s">
        <v>1359</v>
      </c>
    </row>
    <row r="305" spans="1:10">
      <c r="A305" t="s">
        <v>427</v>
      </c>
      <c r="B305">
        <v>585</v>
      </c>
      <c r="C305">
        <v>39</v>
      </c>
      <c r="D305">
        <v>5</v>
      </c>
      <c r="E305">
        <v>90</v>
      </c>
      <c r="F305">
        <v>76</v>
      </c>
      <c r="G305">
        <v>44</v>
      </c>
      <c r="H305">
        <v>51</v>
      </c>
      <c r="I305">
        <v>57</v>
      </c>
      <c r="J305" t="s">
        <v>1359</v>
      </c>
    </row>
    <row r="306" spans="1:10">
      <c r="A306" t="s">
        <v>428</v>
      </c>
      <c r="B306">
        <v>771</v>
      </c>
      <c r="C306">
        <v>41</v>
      </c>
      <c r="D306">
        <v>3</v>
      </c>
      <c r="E306">
        <v>90</v>
      </c>
      <c r="F306">
        <v>74</v>
      </c>
      <c r="G306">
        <v>31</v>
      </c>
      <c r="H306">
        <v>38</v>
      </c>
      <c r="I306">
        <v>44</v>
      </c>
      <c r="J306" t="s">
        <v>1359</v>
      </c>
    </row>
    <row r="307" spans="1:10">
      <c r="A307" t="s">
        <v>429</v>
      </c>
      <c r="B307">
        <v>414</v>
      </c>
      <c r="C307">
        <v>38</v>
      </c>
      <c r="D307">
        <v>6</v>
      </c>
      <c r="E307">
        <v>92</v>
      </c>
      <c r="F307">
        <v>74</v>
      </c>
      <c r="G307">
        <v>28</v>
      </c>
      <c r="H307">
        <v>30</v>
      </c>
      <c r="I307">
        <v>41</v>
      </c>
      <c r="J307" t="s">
        <v>1359</v>
      </c>
    </row>
    <row r="308" spans="1:10">
      <c r="A308" t="s">
        <v>430</v>
      </c>
      <c r="B308">
        <v>955</v>
      </c>
      <c r="C308">
        <v>42</v>
      </c>
      <c r="D308">
        <v>-6</v>
      </c>
      <c r="E308">
        <v>90</v>
      </c>
      <c r="F308">
        <v>74</v>
      </c>
      <c r="G308">
        <v>31</v>
      </c>
      <c r="H308">
        <v>38</v>
      </c>
      <c r="I308">
        <v>44</v>
      </c>
      <c r="J308" t="s">
        <v>1359</v>
      </c>
    </row>
    <row r="309" spans="1:10">
      <c r="A309" t="s">
        <v>431</v>
      </c>
      <c r="B309">
        <v>692</v>
      </c>
      <c r="C309">
        <v>40</v>
      </c>
      <c r="D309">
        <v>1</v>
      </c>
      <c r="E309">
        <v>91</v>
      </c>
      <c r="F309">
        <v>76</v>
      </c>
      <c r="G309">
        <v>42</v>
      </c>
      <c r="H309">
        <v>49</v>
      </c>
      <c r="I309">
        <v>55</v>
      </c>
      <c r="J309" t="s">
        <v>1359</v>
      </c>
    </row>
    <row r="310" spans="1:10">
      <c r="A310" t="s">
        <v>432</v>
      </c>
      <c r="B310">
        <v>863</v>
      </c>
      <c r="C310">
        <v>41</v>
      </c>
      <c r="D310">
        <v>-5</v>
      </c>
      <c r="E310">
        <v>89</v>
      </c>
      <c r="F310">
        <v>74</v>
      </c>
      <c r="G310">
        <v>33</v>
      </c>
      <c r="H310">
        <v>40</v>
      </c>
      <c r="I310">
        <v>46</v>
      </c>
      <c r="J310" t="s">
        <v>1359</v>
      </c>
    </row>
    <row r="311" spans="1:10">
      <c r="A311" t="s">
        <v>433</v>
      </c>
      <c r="B311">
        <v>708</v>
      </c>
      <c r="C311">
        <v>41</v>
      </c>
      <c r="D311">
        <v>-3</v>
      </c>
      <c r="E311">
        <v>90</v>
      </c>
      <c r="F311">
        <v>75</v>
      </c>
      <c r="G311">
        <v>38</v>
      </c>
      <c r="H311">
        <v>45</v>
      </c>
      <c r="I311">
        <v>51</v>
      </c>
      <c r="J311" t="s">
        <v>1359</v>
      </c>
    </row>
    <row r="312" spans="1:10">
      <c r="A312" t="s">
        <v>434</v>
      </c>
      <c r="B312">
        <v>1253</v>
      </c>
      <c r="C312">
        <v>41</v>
      </c>
      <c r="D312">
        <v>-3</v>
      </c>
      <c r="E312">
        <v>91</v>
      </c>
      <c r="F312">
        <v>75</v>
      </c>
      <c r="G312">
        <v>36</v>
      </c>
      <c r="H312">
        <v>43</v>
      </c>
      <c r="I312">
        <v>49</v>
      </c>
      <c r="J312" t="s">
        <v>1359</v>
      </c>
    </row>
    <row r="313" spans="1:10">
      <c r="A313" t="s">
        <v>435</v>
      </c>
      <c r="B313">
        <v>938</v>
      </c>
      <c r="C313">
        <v>41</v>
      </c>
      <c r="D313">
        <v>-4</v>
      </c>
      <c r="E313">
        <v>90</v>
      </c>
      <c r="F313">
        <v>74</v>
      </c>
      <c r="G313">
        <v>31</v>
      </c>
      <c r="H313">
        <v>38</v>
      </c>
      <c r="I313">
        <v>44</v>
      </c>
      <c r="J313" t="s">
        <v>1359</v>
      </c>
    </row>
    <row r="314" spans="1:10">
      <c r="A314" t="s">
        <v>436</v>
      </c>
      <c r="B314">
        <v>1056</v>
      </c>
      <c r="C314">
        <v>42</v>
      </c>
      <c r="D314">
        <v>-7</v>
      </c>
      <c r="E314">
        <v>88</v>
      </c>
      <c r="F314">
        <v>73</v>
      </c>
      <c r="G314">
        <v>29</v>
      </c>
      <c r="H314">
        <v>36</v>
      </c>
      <c r="I314">
        <v>42</v>
      </c>
      <c r="J314" t="s">
        <v>1359</v>
      </c>
    </row>
    <row r="315" spans="1:10">
      <c r="A315" t="s">
        <v>437</v>
      </c>
      <c r="B315">
        <v>1162</v>
      </c>
      <c r="C315">
        <v>42</v>
      </c>
      <c r="D315">
        <v>-7</v>
      </c>
      <c r="E315">
        <v>88</v>
      </c>
      <c r="F315">
        <v>73</v>
      </c>
      <c r="G315">
        <v>29</v>
      </c>
      <c r="H315">
        <v>36</v>
      </c>
      <c r="I315">
        <v>42</v>
      </c>
      <c r="J315" t="s">
        <v>1359</v>
      </c>
    </row>
    <row r="316" spans="1:10">
      <c r="A316" t="s">
        <v>438</v>
      </c>
      <c r="B316">
        <v>661</v>
      </c>
      <c r="C316">
        <v>41</v>
      </c>
      <c r="D316">
        <v>-6</v>
      </c>
      <c r="E316">
        <v>89</v>
      </c>
      <c r="F316">
        <v>76</v>
      </c>
      <c r="G316">
        <v>46</v>
      </c>
      <c r="H316">
        <v>53</v>
      </c>
      <c r="I316">
        <v>59</v>
      </c>
      <c r="J316" t="s">
        <v>1359</v>
      </c>
    </row>
    <row r="317" spans="1:10">
      <c r="A317" t="s">
        <v>439</v>
      </c>
      <c r="B317">
        <v>671</v>
      </c>
      <c r="C317">
        <v>40</v>
      </c>
      <c r="D317">
        <v>0</v>
      </c>
      <c r="E317">
        <v>92</v>
      </c>
      <c r="F317">
        <v>75</v>
      </c>
      <c r="G317">
        <v>34</v>
      </c>
      <c r="H317">
        <v>41</v>
      </c>
      <c r="I317">
        <v>47</v>
      </c>
      <c r="J317" t="s">
        <v>1359</v>
      </c>
    </row>
    <row r="318" spans="1:10">
      <c r="A318" t="s">
        <v>440</v>
      </c>
      <c r="B318">
        <v>1122</v>
      </c>
      <c r="C318">
        <v>40</v>
      </c>
      <c r="D318">
        <v>0</v>
      </c>
      <c r="E318">
        <v>92</v>
      </c>
      <c r="F318">
        <v>74</v>
      </c>
      <c r="G318">
        <v>28</v>
      </c>
      <c r="H318">
        <v>35</v>
      </c>
      <c r="I318">
        <v>45</v>
      </c>
      <c r="J318" t="s">
        <v>1359</v>
      </c>
    </row>
    <row r="319" spans="1:10">
      <c r="A319" t="s">
        <v>441</v>
      </c>
      <c r="B319">
        <v>974</v>
      </c>
      <c r="C319">
        <v>42</v>
      </c>
      <c r="D319">
        <v>-7</v>
      </c>
      <c r="E319">
        <v>90</v>
      </c>
      <c r="F319">
        <v>75</v>
      </c>
      <c r="G319">
        <v>38</v>
      </c>
      <c r="H319">
        <v>45</v>
      </c>
      <c r="I319">
        <v>51</v>
      </c>
      <c r="J319" t="s">
        <v>1359</v>
      </c>
    </row>
    <row r="320" spans="1:10">
      <c r="A320" t="s">
        <v>442</v>
      </c>
      <c r="B320">
        <v>1213</v>
      </c>
      <c r="C320">
        <v>43</v>
      </c>
      <c r="D320">
        <v>-10</v>
      </c>
      <c r="E320">
        <v>88</v>
      </c>
      <c r="F320">
        <v>73</v>
      </c>
      <c r="G320">
        <v>29</v>
      </c>
      <c r="H320">
        <v>36</v>
      </c>
      <c r="I320">
        <v>42</v>
      </c>
      <c r="J320" t="s">
        <v>1359</v>
      </c>
    </row>
    <row r="321" spans="1:10">
      <c r="A321" t="s">
        <v>443</v>
      </c>
      <c r="B321">
        <v>953</v>
      </c>
      <c r="C321">
        <v>41</v>
      </c>
      <c r="D321">
        <v>-5</v>
      </c>
      <c r="E321">
        <v>91</v>
      </c>
      <c r="F321">
        <v>74</v>
      </c>
      <c r="G321">
        <v>30</v>
      </c>
      <c r="H321">
        <v>37</v>
      </c>
      <c r="I321">
        <v>43</v>
      </c>
      <c r="J321" t="s">
        <v>1359</v>
      </c>
    </row>
    <row r="322" spans="1:10">
      <c r="A322" t="s">
        <v>444</v>
      </c>
      <c r="B322">
        <v>846</v>
      </c>
      <c r="C322">
        <v>41</v>
      </c>
      <c r="D322">
        <v>0</v>
      </c>
      <c r="E322">
        <v>92</v>
      </c>
      <c r="F322">
        <v>75</v>
      </c>
      <c r="G322">
        <v>34</v>
      </c>
      <c r="H322">
        <v>41</v>
      </c>
      <c r="I322">
        <v>47</v>
      </c>
      <c r="J322" t="s">
        <v>1359</v>
      </c>
    </row>
    <row r="323" spans="1:10">
      <c r="A323" t="s">
        <v>445</v>
      </c>
      <c r="B323">
        <v>1095</v>
      </c>
      <c r="C323">
        <v>42</v>
      </c>
      <c r="D323">
        <v>-6</v>
      </c>
      <c r="E323">
        <v>90</v>
      </c>
      <c r="F323">
        <v>74</v>
      </c>
      <c r="G323">
        <v>31</v>
      </c>
      <c r="H323">
        <v>38</v>
      </c>
      <c r="I323">
        <v>44</v>
      </c>
      <c r="J323" t="s">
        <v>1359</v>
      </c>
    </row>
    <row r="324" spans="1:10">
      <c r="A324" t="s">
        <v>446</v>
      </c>
      <c r="B324">
        <v>1339</v>
      </c>
      <c r="C324">
        <v>43</v>
      </c>
      <c r="D324">
        <v>-11</v>
      </c>
      <c r="E324">
        <v>88</v>
      </c>
      <c r="F324">
        <v>73</v>
      </c>
      <c r="G324">
        <v>29</v>
      </c>
      <c r="H324">
        <v>36</v>
      </c>
      <c r="I324">
        <v>41</v>
      </c>
      <c r="J324" t="s">
        <v>1359</v>
      </c>
    </row>
    <row r="325" spans="1:10">
      <c r="A325" t="s">
        <v>447</v>
      </c>
      <c r="B325">
        <v>868</v>
      </c>
      <c r="C325">
        <v>42</v>
      </c>
      <c r="D325">
        <v>-9</v>
      </c>
      <c r="E325">
        <v>88</v>
      </c>
      <c r="F325">
        <v>73</v>
      </c>
      <c r="G325">
        <v>29</v>
      </c>
      <c r="H325">
        <v>36</v>
      </c>
      <c r="I325">
        <v>41</v>
      </c>
      <c r="J325" t="s">
        <v>1359</v>
      </c>
    </row>
    <row r="326" spans="1:10">
      <c r="A326" t="s">
        <v>448</v>
      </c>
      <c r="B326">
        <v>1073</v>
      </c>
      <c r="C326">
        <v>39</v>
      </c>
      <c r="D326">
        <v>2</v>
      </c>
      <c r="E326">
        <v>93</v>
      </c>
      <c r="F326">
        <v>76</v>
      </c>
      <c r="G326">
        <v>39</v>
      </c>
      <c r="H326">
        <v>46</v>
      </c>
      <c r="I326">
        <v>52</v>
      </c>
      <c r="J326" t="s">
        <v>1359</v>
      </c>
    </row>
    <row r="327" spans="1:10">
      <c r="A327" t="s">
        <v>449</v>
      </c>
      <c r="B327">
        <v>981</v>
      </c>
      <c r="C327">
        <v>34</v>
      </c>
      <c r="D327">
        <v>7</v>
      </c>
      <c r="E327">
        <v>97</v>
      </c>
      <c r="F327">
        <v>74</v>
      </c>
      <c r="G327">
        <v>20</v>
      </c>
      <c r="H327">
        <v>27</v>
      </c>
      <c r="I327">
        <v>33</v>
      </c>
      <c r="J327" t="s">
        <v>1359</v>
      </c>
    </row>
    <row r="328" spans="1:10">
      <c r="A328" t="s">
        <v>450</v>
      </c>
      <c r="B328">
        <v>1483</v>
      </c>
      <c r="C328">
        <v>39</v>
      </c>
      <c r="D328">
        <v>3</v>
      </c>
      <c r="E328">
        <v>96</v>
      </c>
      <c r="F328">
        <v>72</v>
      </c>
      <c r="G328">
        <v>10</v>
      </c>
      <c r="H328">
        <v>17</v>
      </c>
      <c r="I328">
        <v>23</v>
      </c>
      <c r="J328" t="s">
        <v>1359</v>
      </c>
    </row>
    <row r="329" spans="1:10">
      <c r="A329" t="s">
        <v>451</v>
      </c>
      <c r="B329">
        <v>2582</v>
      </c>
      <c r="C329">
        <v>37</v>
      </c>
      <c r="D329">
        <v>6</v>
      </c>
      <c r="E329">
        <v>97</v>
      </c>
      <c r="F329">
        <v>70</v>
      </c>
      <c r="G329">
        <v>-3</v>
      </c>
      <c r="H329">
        <v>4</v>
      </c>
      <c r="I329">
        <v>10</v>
      </c>
      <c r="J329" t="s">
        <v>1359</v>
      </c>
    </row>
    <row r="330" spans="1:10">
      <c r="A330" t="s">
        <v>452</v>
      </c>
      <c r="B330">
        <v>1378</v>
      </c>
      <c r="C330">
        <v>37</v>
      </c>
      <c r="D330">
        <v>7</v>
      </c>
      <c r="E330">
        <v>98</v>
      </c>
      <c r="F330">
        <v>73</v>
      </c>
      <c r="G330">
        <v>12</v>
      </c>
      <c r="H330">
        <v>19</v>
      </c>
      <c r="I330">
        <v>25</v>
      </c>
      <c r="J330" t="s">
        <v>1359</v>
      </c>
    </row>
    <row r="331" spans="1:10">
      <c r="A331" t="s">
        <v>453</v>
      </c>
      <c r="B331">
        <v>1206</v>
      </c>
      <c r="C331">
        <v>38</v>
      </c>
      <c r="D331">
        <v>5</v>
      </c>
      <c r="E331">
        <v>97</v>
      </c>
      <c r="F331">
        <v>74</v>
      </c>
      <c r="G331">
        <v>20</v>
      </c>
      <c r="H331">
        <v>27</v>
      </c>
      <c r="I331">
        <v>33</v>
      </c>
      <c r="J331" t="s">
        <v>1359</v>
      </c>
    </row>
    <row r="332" spans="1:10">
      <c r="A332" t="s">
        <v>454</v>
      </c>
      <c r="B332">
        <v>2890</v>
      </c>
      <c r="C332">
        <v>38</v>
      </c>
      <c r="D332">
        <v>4</v>
      </c>
      <c r="E332">
        <v>97</v>
      </c>
      <c r="F332">
        <v>69</v>
      </c>
      <c r="G332">
        <v>-9</v>
      </c>
      <c r="H332">
        <v>-2</v>
      </c>
      <c r="I332">
        <v>4</v>
      </c>
      <c r="J332" t="s">
        <v>1033</v>
      </c>
    </row>
    <row r="333" spans="1:10">
      <c r="A333" t="s">
        <v>455</v>
      </c>
      <c r="B333">
        <v>3654</v>
      </c>
      <c r="C333">
        <v>39</v>
      </c>
      <c r="D333">
        <v>2</v>
      </c>
      <c r="E333">
        <v>94</v>
      </c>
      <c r="F333">
        <v>66</v>
      </c>
      <c r="G333">
        <v>-17</v>
      </c>
      <c r="H333">
        <v>-10</v>
      </c>
      <c r="I333">
        <v>-4</v>
      </c>
      <c r="J333" t="s">
        <v>1033</v>
      </c>
    </row>
    <row r="334" spans="1:10">
      <c r="A334" t="s">
        <v>456</v>
      </c>
      <c r="B334">
        <v>1887</v>
      </c>
      <c r="C334">
        <v>38</v>
      </c>
      <c r="D334">
        <v>4</v>
      </c>
      <c r="E334">
        <v>98</v>
      </c>
      <c r="F334">
        <v>73</v>
      </c>
      <c r="G334">
        <v>12</v>
      </c>
      <c r="H334">
        <v>19</v>
      </c>
      <c r="I334">
        <v>25</v>
      </c>
      <c r="J334" t="s">
        <v>1033</v>
      </c>
    </row>
    <row r="335" spans="1:10">
      <c r="A335" t="s">
        <v>457</v>
      </c>
      <c r="B335">
        <v>1542</v>
      </c>
      <c r="C335">
        <v>38</v>
      </c>
      <c r="D335">
        <v>8</v>
      </c>
      <c r="E335">
        <v>99</v>
      </c>
      <c r="F335">
        <v>72</v>
      </c>
      <c r="G335">
        <v>5</v>
      </c>
      <c r="H335">
        <v>12</v>
      </c>
      <c r="I335">
        <v>18</v>
      </c>
      <c r="J335" t="s">
        <v>1033</v>
      </c>
    </row>
    <row r="336" spans="1:10">
      <c r="A336" t="s">
        <v>458</v>
      </c>
      <c r="B336">
        <v>2883</v>
      </c>
      <c r="C336">
        <v>37</v>
      </c>
      <c r="D336">
        <v>7</v>
      </c>
      <c r="E336">
        <v>96</v>
      </c>
      <c r="F336">
        <v>68</v>
      </c>
      <c r="G336">
        <v>-12</v>
      </c>
      <c r="H336">
        <v>-5</v>
      </c>
      <c r="I336">
        <v>1</v>
      </c>
      <c r="J336" t="s">
        <v>1033</v>
      </c>
    </row>
    <row r="337" spans="1:10">
      <c r="A337" t="s">
        <v>459</v>
      </c>
      <c r="B337">
        <v>1065</v>
      </c>
      <c r="C337">
        <v>39</v>
      </c>
      <c r="D337">
        <v>5</v>
      </c>
      <c r="E337">
        <v>96</v>
      </c>
      <c r="F337">
        <v>74</v>
      </c>
      <c r="G337">
        <v>22</v>
      </c>
      <c r="H337">
        <v>29</v>
      </c>
      <c r="I337">
        <v>35</v>
      </c>
      <c r="J337" t="s">
        <v>1359</v>
      </c>
    </row>
    <row r="338" spans="1:10">
      <c r="A338" t="s">
        <v>460</v>
      </c>
      <c r="B338">
        <v>899</v>
      </c>
      <c r="C338">
        <v>37</v>
      </c>
      <c r="D338">
        <v>9</v>
      </c>
      <c r="E338">
        <v>97</v>
      </c>
      <c r="F338">
        <v>74</v>
      </c>
      <c r="G338">
        <v>20</v>
      </c>
      <c r="H338">
        <v>27</v>
      </c>
      <c r="I338">
        <v>33</v>
      </c>
      <c r="J338" t="s">
        <v>1359</v>
      </c>
    </row>
    <row r="339" spans="1:10">
      <c r="A339" t="s">
        <v>461</v>
      </c>
      <c r="B339">
        <v>1864</v>
      </c>
      <c r="C339">
        <v>38</v>
      </c>
      <c r="D339">
        <v>3</v>
      </c>
      <c r="E339">
        <v>96</v>
      </c>
      <c r="F339">
        <v>72</v>
      </c>
      <c r="G339">
        <v>10</v>
      </c>
      <c r="H339">
        <v>17</v>
      </c>
      <c r="I339">
        <v>23</v>
      </c>
      <c r="J339" t="s">
        <v>1033</v>
      </c>
    </row>
    <row r="340" spans="1:10">
      <c r="A340" t="s">
        <v>462</v>
      </c>
      <c r="B340">
        <v>1272</v>
      </c>
      <c r="C340">
        <v>38</v>
      </c>
      <c r="D340">
        <v>4</v>
      </c>
      <c r="E340">
        <v>97</v>
      </c>
      <c r="F340">
        <v>73</v>
      </c>
      <c r="G340">
        <v>14</v>
      </c>
      <c r="H340">
        <v>21</v>
      </c>
      <c r="I340">
        <v>27</v>
      </c>
      <c r="J340" t="s">
        <v>1033</v>
      </c>
    </row>
    <row r="341" spans="1:10">
      <c r="A341" t="s">
        <v>463</v>
      </c>
      <c r="B341">
        <v>877</v>
      </c>
      <c r="C341">
        <v>39</v>
      </c>
      <c r="D341">
        <v>4</v>
      </c>
      <c r="E341">
        <v>93</v>
      </c>
      <c r="F341">
        <v>75</v>
      </c>
      <c r="G341">
        <v>33</v>
      </c>
      <c r="H341">
        <v>40</v>
      </c>
      <c r="I341">
        <v>46</v>
      </c>
      <c r="J341" t="s">
        <v>1359</v>
      </c>
    </row>
    <row r="342" spans="1:10">
      <c r="A342" t="s">
        <v>464</v>
      </c>
      <c r="B342">
        <v>1321</v>
      </c>
      <c r="C342">
        <v>37</v>
      </c>
      <c r="D342">
        <v>8</v>
      </c>
      <c r="E342">
        <v>97</v>
      </c>
      <c r="F342">
        <v>73</v>
      </c>
      <c r="G342">
        <v>14</v>
      </c>
      <c r="H342">
        <v>21</v>
      </c>
      <c r="I342">
        <v>27</v>
      </c>
      <c r="J342" t="s">
        <v>1359</v>
      </c>
    </row>
    <row r="343" spans="1:10">
      <c r="A343" t="s">
        <v>465</v>
      </c>
      <c r="B343">
        <v>1371</v>
      </c>
      <c r="C343">
        <v>37</v>
      </c>
      <c r="D343">
        <v>10</v>
      </c>
      <c r="E343">
        <v>97</v>
      </c>
      <c r="F343">
        <v>73</v>
      </c>
      <c r="G343">
        <v>14</v>
      </c>
      <c r="H343">
        <v>21</v>
      </c>
      <c r="I343">
        <v>27</v>
      </c>
      <c r="J343" t="s">
        <v>1359</v>
      </c>
    </row>
    <row r="344" spans="1:10">
      <c r="A344" t="s">
        <v>466</v>
      </c>
      <c r="B344">
        <v>546</v>
      </c>
      <c r="C344">
        <v>38</v>
      </c>
      <c r="D344">
        <v>10</v>
      </c>
      <c r="E344">
        <v>91</v>
      </c>
      <c r="F344">
        <v>74</v>
      </c>
      <c r="G344">
        <v>30</v>
      </c>
      <c r="H344">
        <v>37</v>
      </c>
      <c r="I344">
        <v>43</v>
      </c>
      <c r="J344" t="s">
        <v>1359</v>
      </c>
    </row>
    <row r="345" spans="1:10">
      <c r="A345" t="s">
        <v>467</v>
      </c>
      <c r="B345">
        <v>547</v>
      </c>
      <c r="C345">
        <v>37</v>
      </c>
      <c r="D345">
        <v>14</v>
      </c>
      <c r="E345">
        <v>91</v>
      </c>
      <c r="F345">
        <v>75</v>
      </c>
      <c r="G345">
        <v>36</v>
      </c>
      <c r="H345">
        <v>43</v>
      </c>
      <c r="I345">
        <v>49</v>
      </c>
      <c r="J345" t="s">
        <v>1359</v>
      </c>
    </row>
    <row r="346" spans="1:10">
      <c r="A346" t="s">
        <v>468</v>
      </c>
      <c r="B346">
        <v>1188</v>
      </c>
      <c r="C346">
        <v>37</v>
      </c>
      <c r="D346">
        <v>9</v>
      </c>
      <c r="E346">
        <v>92</v>
      </c>
      <c r="F346">
        <v>73</v>
      </c>
      <c r="G346">
        <v>23</v>
      </c>
      <c r="H346">
        <v>29</v>
      </c>
      <c r="I346">
        <v>36</v>
      </c>
      <c r="J346" t="s">
        <v>1359</v>
      </c>
    </row>
    <row r="347" spans="1:10">
      <c r="A347" t="s">
        <v>469</v>
      </c>
      <c r="B347">
        <v>869</v>
      </c>
      <c r="C347">
        <v>39</v>
      </c>
      <c r="D347">
        <v>7</v>
      </c>
      <c r="E347">
        <v>89</v>
      </c>
      <c r="F347">
        <v>73</v>
      </c>
      <c r="G347">
        <v>27</v>
      </c>
      <c r="H347">
        <v>34</v>
      </c>
      <c r="I347">
        <v>40</v>
      </c>
      <c r="J347" t="s">
        <v>1359</v>
      </c>
    </row>
    <row r="348" spans="1:10">
      <c r="A348" t="s">
        <v>470</v>
      </c>
      <c r="B348">
        <v>753</v>
      </c>
      <c r="C348">
        <v>37</v>
      </c>
      <c r="D348">
        <v>15</v>
      </c>
      <c r="E348">
        <v>92</v>
      </c>
      <c r="F348">
        <v>74</v>
      </c>
      <c r="G348">
        <v>28</v>
      </c>
      <c r="H348">
        <v>35</v>
      </c>
      <c r="I348">
        <v>41</v>
      </c>
      <c r="J348" t="s">
        <v>1359</v>
      </c>
    </row>
    <row r="349" spans="1:10">
      <c r="A349" t="s">
        <v>471</v>
      </c>
      <c r="B349">
        <v>571</v>
      </c>
      <c r="C349">
        <v>15</v>
      </c>
      <c r="D349">
        <v>15</v>
      </c>
      <c r="E349">
        <v>93</v>
      </c>
      <c r="F349">
        <v>76</v>
      </c>
      <c r="G349">
        <v>39</v>
      </c>
      <c r="H349">
        <v>46</v>
      </c>
      <c r="I349">
        <v>52</v>
      </c>
      <c r="J349" t="s">
        <v>1359</v>
      </c>
    </row>
    <row r="350" spans="1:10">
      <c r="A350" t="s">
        <v>472</v>
      </c>
      <c r="B350">
        <v>1381</v>
      </c>
      <c r="C350">
        <v>37</v>
      </c>
      <c r="D350">
        <v>14</v>
      </c>
      <c r="E350">
        <v>87</v>
      </c>
      <c r="F350">
        <v>73</v>
      </c>
      <c r="G350">
        <v>30</v>
      </c>
      <c r="H350">
        <v>37</v>
      </c>
      <c r="I350">
        <v>43</v>
      </c>
      <c r="J350" t="s">
        <v>1359</v>
      </c>
    </row>
    <row r="351" spans="1:10">
      <c r="A351" t="s">
        <v>473</v>
      </c>
      <c r="B351">
        <v>966</v>
      </c>
      <c r="C351">
        <v>38</v>
      </c>
      <c r="D351">
        <v>10</v>
      </c>
      <c r="E351">
        <v>89</v>
      </c>
      <c r="F351">
        <v>73</v>
      </c>
      <c r="G351">
        <v>27</v>
      </c>
      <c r="H351">
        <v>34</v>
      </c>
      <c r="I351">
        <v>40</v>
      </c>
      <c r="J351" t="s">
        <v>1359</v>
      </c>
    </row>
    <row r="352" spans="1:10">
      <c r="A352" t="s">
        <v>474</v>
      </c>
      <c r="B352">
        <v>477</v>
      </c>
      <c r="C352">
        <v>38</v>
      </c>
      <c r="D352">
        <v>12</v>
      </c>
      <c r="E352">
        <v>90</v>
      </c>
      <c r="F352">
        <v>75</v>
      </c>
      <c r="G352">
        <v>38</v>
      </c>
      <c r="H352">
        <v>45</v>
      </c>
      <c r="I352">
        <v>51</v>
      </c>
      <c r="J352" t="s">
        <v>1359</v>
      </c>
    </row>
    <row r="353" spans="1:10">
      <c r="A353" t="s">
        <v>475</v>
      </c>
      <c r="B353">
        <v>439</v>
      </c>
      <c r="C353">
        <v>37</v>
      </c>
      <c r="D353">
        <v>10</v>
      </c>
      <c r="E353">
        <v>93</v>
      </c>
      <c r="F353">
        <v>75</v>
      </c>
      <c r="G353">
        <v>33</v>
      </c>
      <c r="H353">
        <v>40</v>
      </c>
      <c r="I353">
        <v>46</v>
      </c>
      <c r="J353" t="s">
        <v>1359</v>
      </c>
    </row>
    <row r="354" spans="1:10">
      <c r="A354" t="s">
        <v>476</v>
      </c>
      <c r="B354">
        <v>407</v>
      </c>
      <c r="C354">
        <v>37</v>
      </c>
      <c r="D354">
        <v>10</v>
      </c>
      <c r="E354">
        <v>94</v>
      </c>
      <c r="F354">
        <v>75</v>
      </c>
      <c r="G354">
        <v>31</v>
      </c>
      <c r="H354">
        <v>38</v>
      </c>
      <c r="I354">
        <v>44</v>
      </c>
      <c r="J354" t="s">
        <v>1359</v>
      </c>
    </row>
    <row r="355" spans="1:10">
      <c r="A355" t="s">
        <v>477</v>
      </c>
      <c r="B355">
        <v>413</v>
      </c>
      <c r="C355">
        <v>37</v>
      </c>
      <c r="D355">
        <v>12</v>
      </c>
      <c r="E355">
        <v>93</v>
      </c>
      <c r="F355">
        <v>76</v>
      </c>
      <c r="G355">
        <v>39</v>
      </c>
      <c r="H355">
        <v>46</v>
      </c>
      <c r="I355">
        <v>52</v>
      </c>
      <c r="J355" t="s">
        <v>1359</v>
      </c>
    </row>
    <row r="356" spans="1:10">
      <c r="A356" t="s">
        <v>478</v>
      </c>
      <c r="B356">
        <v>89</v>
      </c>
      <c r="C356">
        <v>31</v>
      </c>
      <c r="D356">
        <v>30</v>
      </c>
      <c r="E356">
        <v>94</v>
      </c>
      <c r="F356">
        <v>78</v>
      </c>
      <c r="G356">
        <v>51</v>
      </c>
      <c r="H356">
        <v>58</v>
      </c>
      <c r="I356">
        <v>64</v>
      </c>
      <c r="J356" t="s">
        <v>1359</v>
      </c>
    </row>
    <row r="357" spans="1:10">
      <c r="A357" t="s">
        <v>479</v>
      </c>
      <c r="B357">
        <v>64</v>
      </c>
      <c r="C357">
        <v>30</v>
      </c>
      <c r="D357">
        <v>30</v>
      </c>
      <c r="E357">
        <v>92</v>
      </c>
      <c r="F357">
        <v>77</v>
      </c>
      <c r="G357">
        <v>47</v>
      </c>
      <c r="H357">
        <v>54</v>
      </c>
      <c r="I357">
        <v>60</v>
      </c>
      <c r="J357" t="s">
        <v>1359</v>
      </c>
    </row>
    <row r="358" spans="1:10">
      <c r="A358" t="s">
        <v>480</v>
      </c>
      <c r="B358">
        <v>119</v>
      </c>
      <c r="C358">
        <v>30</v>
      </c>
      <c r="D358">
        <v>28</v>
      </c>
      <c r="E358">
        <v>93</v>
      </c>
      <c r="F358">
        <v>77</v>
      </c>
      <c r="G358">
        <v>46</v>
      </c>
      <c r="H358">
        <v>53</v>
      </c>
      <c r="I358">
        <v>59</v>
      </c>
      <c r="J358" t="s">
        <v>1359</v>
      </c>
    </row>
    <row r="359" spans="1:10">
      <c r="A359" t="s">
        <v>481</v>
      </c>
      <c r="B359">
        <v>167</v>
      </c>
      <c r="C359">
        <v>32</v>
      </c>
      <c r="D359">
        <v>27</v>
      </c>
      <c r="E359">
        <v>94</v>
      </c>
      <c r="F359">
        <v>77</v>
      </c>
      <c r="G359">
        <v>44</v>
      </c>
      <c r="H359">
        <v>51</v>
      </c>
      <c r="I359">
        <v>57</v>
      </c>
      <c r="J359" t="s">
        <v>1359</v>
      </c>
    </row>
    <row r="360" spans="1:10">
      <c r="A360" t="s">
        <v>482</v>
      </c>
      <c r="B360">
        <v>9</v>
      </c>
      <c r="C360">
        <v>29</v>
      </c>
      <c r="D360">
        <v>35</v>
      </c>
      <c r="E360">
        <v>93</v>
      </c>
      <c r="F360">
        <v>78</v>
      </c>
      <c r="G360">
        <v>52</v>
      </c>
      <c r="H360">
        <v>59</v>
      </c>
      <c r="I360">
        <v>65</v>
      </c>
      <c r="J360" t="s">
        <v>1032</v>
      </c>
    </row>
    <row r="361" spans="1:10">
      <c r="A361" t="s">
        <v>483</v>
      </c>
      <c r="B361">
        <v>42</v>
      </c>
      <c r="C361">
        <v>30</v>
      </c>
      <c r="D361">
        <v>32</v>
      </c>
      <c r="E361">
        <v>93</v>
      </c>
      <c r="F361">
        <v>78</v>
      </c>
      <c r="G361">
        <v>52</v>
      </c>
      <c r="H361">
        <v>59</v>
      </c>
      <c r="I361">
        <v>65</v>
      </c>
      <c r="J361" t="s">
        <v>1359</v>
      </c>
    </row>
    <row r="362" spans="1:10">
      <c r="A362" t="s">
        <v>484</v>
      </c>
      <c r="B362">
        <v>9</v>
      </c>
      <c r="C362">
        <v>30</v>
      </c>
      <c r="D362">
        <v>32</v>
      </c>
      <c r="E362">
        <v>91</v>
      </c>
      <c r="F362">
        <v>78</v>
      </c>
      <c r="G362">
        <v>56</v>
      </c>
      <c r="H362">
        <v>63</v>
      </c>
      <c r="I362">
        <v>69</v>
      </c>
      <c r="J362" t="s">
        <v>1359</v>
      </c>
    </row>
    <row r="363" spans="1:10">
      <c r="A363" t="s">
        <v>485</v>
      </c>
      <c r="B363">
        <v>330</v>
      </c>
      <c r="C363">
        <v>31</v>
      </c>
      <c r="D363">
        <v>30</v>
      </c>
      <c r="E363">
        <v>94</v>
      </c>
      <c r="F363">
        <v>76</v>
      </c>
      <c r="G363">
        <v>37</v>
      </c>
      <c r="H363">
        <v>44</v>
      </c>
      <c r="I363">
        <v>50</v>
      </c>
      <c r="J363" t="s">
        <v>1359</v>
      </c>
    </row>
    <row r="364" spans="1:10">
      <c r="A364" t="s">
        <v>486</v>
      </c>
      <c r="B364">
        <v>278</v>
      </c>
      <c r="C364">
        <v>32</v>
      </c>
      <c r="D364">
        <v>25</v>
      </c>
      <c r="E364">
        <v>96</v>
      </c>
      <c r="F364">
        <v>76</v>
      </c>
      <c r="G364">
        <v>34</v>
      </c>
      <c r="H364">
        <v>41</v>
      </c>
      <c r="I364">
        <v>47</v>
      </c>
      <c r="J364" t="s">
        <v>1359</v>
      </c>
    </row>
    <row r="365" spans="1:10">
      <c r="A365" t="s">
        <v>487</v>
      </c>
      <c r="B365">
        <v>79</v>
      </c>
      <c r="C365">
        <v>32</v>
      </c>
      <c r="D365">
        <v>27</v>
      </c>
      <c r="E365">
        <v>94</v>
      </c>
      <c r="F365">
        <v>78</v>
      </c>
      <c r="G365">
        <v>51</v>
      </c>
      <c r="H365">
        <v>58</v>
      </c>
      <c r="I365">
        <v>64</v>
      </c>
      <c r="J365" t="s">
        <v>1359</v>
      </c>
    </row>
    <row r="366" spans="1:10">
      <c r="A366" t="s">
        <v>488</v>
      </c>
      <c r="B366">
        <v>121</v>
      </c>
      <c r="C366">
        <v>31</v>
      </c>
      <c r="D366">
        <v>26</v>
      </c>
      <c r="E366">
        <v>95</v>
      </c>
      <c r="F366">
        <v>77</v>
      </c>
      <c r="G366">
        <v>42</v>
      </c>
      <c r="H366">
        <v>49</v>
      </c>
      <c r="I366">
        <v>55</v>
      </c>
      <c r="J366" t="s">
        <v>1359</v>
      </c>
    </row>
    <row r="367" spans="1:10">
      <c r="A367" t="s">
        <v>489</v>
      </c>
      <c r="B367">
        <v>4</v>
      </c>
      <c r="C367">
        <v>30</v>
      </c>
      <c r="D367">
        <v>34</v>
      </c>
      <c r="E367">
        <v>92</v>
      </c>
      <c r="F367">
        <v>78</v>
      </c>
      <c r="G367">
        <v>54</v>
      </c>
      <c r="H367">
        <v>61</v>
      </c>
      <c r="I367">
        <v>67</v>
      </c>
      <c r="J367" t="s">
        <v>1359</v>
      </c>
    </row>
    <row r="368" spans="1:10">
      <c r="A368" t="s">
        <v>490</v>
      </c>
      <c r="B368">
        <v>10</v>
      </c>
      <c r="C368">
        <v>30</v>
      </c>
      <c r="D368">
        <v>39</v>
      </c>
      <c r="E368">
        <v>92</v>
      </c>
      <c r="F368">
        <v>78</v>
      </c>
      <c r="G368">
        <v>54</v>
      </c>
      <c r="H368">
        <v>61</v>
      </c>
      <c r="I368">
        <v>67</v>
      </c>
      <c r="J368" t="s">
        <v>1032</v>
      </c>
    </row>
    <row r="369" spans="1:10">
      <c r="A369" t="s">
        <v>491</v>
      </c>
      <c r="B369">
        <v>254</v>
      </c>
      <c r="C369">
        <v>32</v>
      </c>
      <c r="D369">
        <v>26</v>
      </c>
      <c r="E369">
        <v>95</v>
      </c>
      <c r="F369">
        <v>77</v>
      </c>
      <c r="G369">
        <v>42</v>
      </c>
      <c r="H369">
        <v>49</v>
      </c>
      <c r="I369">
        <v>55</v>
      </c>
      <c r="J369" t="s">
        <v>1359</v>
      </c>
    </row>
    <row r="370" spans="1:10">
      <c r="A370" t="s">
        <v>492</v>
      </c>
      <c r="B370">
        <v>353</v>
      </c>
      <c r="C370">
        <v>44</v>
      </c>
      <c r="D370">
        <v>1</v>
      </c>
      <c r="E370">
        <v>84</v>
      </c>
      <c r="F370">
        <v>69</v>
      </c>
      <c r="G370">
        <v>12</v>
      </c>
      <c r="H370">
        <v>19</v>
      </c>
      <c r="I370">
        <v>25</v>
      </c>
      <c r="J370" t="s">
        <v>1359</v>
      </c>
    </row>
    <row r="371" spans="1:10">
      <c r="A371" t="s">
        <v>493</v>
      </c>
      <c r="B371">
        <v>192</v>
      </c>
      <c r="C371">
        <v>44</v>
      </c>
      <c r="D371">
        <v>-2</v>
      </c>
      <c r="E371">
        <v>84</v>
      </c>
      <c r="F371">
        <v>69</v>
      </c>
      <c r="G371">
        <v>12</v>
      </c>
      <c r="H371">
        <v>19</v>
      </c>
      <c r="I371">
        <v>25</v>
      </c>
      <c r="J371" t="s">
        <v>1359</v>
      </c>
    </row>
    <row r="372" spans="1:10">
      <c r="A372" t="s">
        <v>494</v>
      </c>
      <c r="B372">
        <v>75</v>
      </c>
      <c r="C372">
        <v>43</v>
      </c>
      <c r="D372">
        <v>2</v>
      </c>
      <c r="E372">
        <v>84</v>
      </c>
      <c r="F372">
        <v>69</v>
      </c>
      <c r="G372">
        <v>12</v>
      </c>
      <c r="H372">
        <v>19</v>
      </c>
      <c r="I372">
        <v>25</v>
      </c>
      <c r="J372" t="s">
        <v>1359</v>
      </c>
    </row>
    <row r="373" spans="1:10">
      <c r="A373" t="s">
        <v>495</v>
      </c>
      <c r="B373">
        <v>624</v>
      </c>
      <c r="C373">
        <v>46</v>
      </c>
      <c r="D373">
        <v>-10</v>
      </c>
      <c r="E373">
        <v>82</v>
      </c>
      <c r="F373">
        <v>67</v>
      </c>
      <c r="G373">
        <v>5</v>
      </c>
      <c r="H373">
        <v>12</v>
      </c>
      <c r="I373">
        <v>18</v>
      </c>
      <c r="J373" t="s">
        <v>1359</v>
      </c>
    </row>
    <row r="374" spans="1:10">
      <c r="A374" t="s">
        <v>496</v>
      </c>
      <c r="B374">
        <v>358</v>
      </c>
      <c r="C374">
        <v>44</v>
      </c>
      <c r="D374">
        <v>-2</v>
      </c>
      <c r="E374">
        <v>85</v>
      </c>
      <c r="F374">
        <v>70</v>
      </c>
      <c r="G374">
        <v>15</v>
      </c>
      <c r="H374">
        <v>22</v>
      </c>
      <c r="I374">
        <v>29</v>
      </c>
      <c r="J374" t="s">
        <v>1359</v>
      </c>
    </row>
    <row r="375" spans="1:10">
      <c r="A375" t="s">
        <v>497</v>
      </c>
      <c r="B375">
        <v>745</v>
      </c>
      <c r="C375">
        <v>46</v>
      </c>
      <c r="D375">
        <v>-9</v>
      </c>
      <c r="E375">
        <v>80</v>
      </c>
      <c r="F375">
        <v>66</v>
      </c>
      <c r="G375">
        <v>3</v>
      </c>
      <c r="H375">
        <v>10</v>
      </c>
      <c r="I375">
        <v>16</v>
      </c>
      <c r="J375" t="s">
        <v>1359</v>
      </c>
    </row>
    <row r="376" spans="1:10">
      <c r="A376" t="s">
        <v>498</v>
      </c>
      <c r="B376">
        <v>413</v>
      </c>
      <c r="C376">
        <v>45</v>
      </c>
      <c r="D376">
        <v>-9</v>
      </c>
      <c r="E376">
        <v>83</v>
      </c>
      <c r="F376">
        <v>68</v>
      </c>
      <c r="G376">
        <v>8</v>
      </c>
      <c r="H376">
        <v>15</v>
      </c>
      <c r="I376">
        <v>21</v>
      </c>
      <c r="J376" t="s">
        <v>1359</v>
      </c>
    </row>
    <row r="377" spans="1:10">
      <c r="A377" t="s">
        <v>499</v>
      </c>
      <c r="B377">
        <v>43</v>
      </c>
      <c r="C377">
        <v>43</v>
      </c>
      <c r="D377">
        <v>2</v>
      </c>
      <c r="E377">
        <v>83</v>
      </c>
      <c r="F377">
        <v>70</v>
      </c>
      <c r="G377">
        <v>19</v>
      </c>
      <c r="H377">
        <v>26</v>
      </c>
      <c r="I377">
        <v>32</v>
      </c>
      <c r="J377" t="s">
        <v>1359</v>
      </c>
    </row>
    <row r="378" spans="1:10">
      <c r="A378" t="s">
        <v>500</v>
      </c>
      <c r="B378">
        <v>333</v>
      </c>
      <c r="C378">
        <v>44</v>
      </c>
      <c r="D378">
        <v>-4</v>
      </c>
      <c r="E378">
        <v>84</v>
      </c>
      <c r="F378">
        <v>69</v>
      </c>
      <c r="G378">
        <v>12</v>
      </c>
      <c r="H378">
        <v>19</v>
      </c>
      <c r="I378">
        <v>25</v>
      </c>
      <c r="J378" t="s">
        <v>1359</v>
      </c>
    </row>
    <row r="379" spans="1:10">
      <c r="A379" t="s">
        <v>501</v>
      </c>
      <c r="B379">
        <v>148</v>
      </c>
      <c r="C379">
        <v>39</v>
      </c>
      <c r="D379">
        <v>15</v>
      </c>
      <c r="E379">
        <v>91</v>
      </c>
      <c r="F379">
        <v>74</v>
      </c>
      <c r="G379">
        <v>30</v>
      </c>
      <c r="H379">
        <v>37</v>
      </c>
      <c r="I379">
        <v>43</v>
      </c>
      <c r="J379" t="s">
        <v>1359</v>
      </c>
    </row>
    <row r="380" spans="1:10">
      <c r="A380" t="s">
        <v>502</v>
      </c>
      <c r="B380">
        <v>24</v>
      </c>
      <c r="C380">
        <v>39</v>
      </c>
      <c r="D380">
        <v>17</v>
      </c>
      <c r="E380">
        <v>89</v>
      </c>
      <c r="F380">
        <v>76</v>
      </c>
      <c r="G380">
        <v>46</v>
      </c>
      <c r="H380">
        <v>53</v>
      </c>
      <c r="I380">
        <v>59</v>
      </c>
      <c r="J380" t="s">
        <v>1359</v>
      </c>
    </row>
    <row r="381" spans="1:10">
      <c r="A381" t="s">
        <v>503</v>
      </c>
      <c r="B381">
        <v>790</v>
      </c>
      <c r="C381">
        <v>39</v>
      </c>
      <c r="D381">
        <v>10</v>
      </c>
      <c r="E381">
        <v>89</v>
      </c>
      <c r="F381">
        <v>74</v>
      </c>
      <c r="G381">
        <v>33</v>
      </c>
      <c r="H381">
        <v>40</v>
      </c>
      <c r="I381">
        <v>46</v>
      </c>
      <c r="J381" t="s">
        <v>1359</v>
      </c>
    </row>
    <row r="382" spans="1:10">
      <c r="A382" t="s">
        <v>504</v>
      </c>
      <c r="B382">
        <v>313</v>
      </c>
      <c r="C382">
        <v>39</v>
      </c>
      <c r="D382">
        <v>12</v>
      </c>
      <c r="E382">
        <v>91</v>
      </c>
      <c r="F382">
        <v>75</v>
      </c>
      <c r="G382">
        <v>36</v>
      </c>
      <c r="H382">
        <v>43</v>
      </c>
      <c r="I382">
        <v>49</v>
      </c>
      <c r="J382" t="s">
        <v>1359</v>
      </c>
    </row>
    <row r="383" spans="1:10">
      <c r="A383" t="s">
        <v>505</v>
      </c>
      <c r="B383">
        <v>704</v>
      </c>
      <c r="C383">
        <v>39</v>
      </c>
      <c r="D383">
        <v>12</v>
      </c>
      <c r="E383">
        <v>91</v>
      </c>
      <c r="F383">
        <v>74</v>
      </c>
      <c r="G383">
        <v>30</v>
      </c>
      <c r="H383">
        <v>37</v>
      </c>
      <c r="I383">
        <v>43</v>
      </c>
      <c r="J383" t="s">
        <v>1359</v>
      </c>
    </row>
    <row r="384" spans="1:10">
      <c r="A384" t="s">
        <v>506</v>
      </c>
      <c r="B384">
        <v>39</v>
      </c>
      <c r="C384">
        <v>38</v>
      </c>
      <c r="D384">
        <v>21</v>
      </c>
      <c r="E384">
        <v>90</v>
      </c>
      <c r="F384">
        <v>75</v>
      </c>
      <c r="G384">
        <v>38</v>
      </c>
      <c r="H384">
        <v>45</v>
      </c>
      <c r="I384">
        <v>51</v>
      </c>
      <c r="J384" t="s">
        <v>1359</v>
      </c>
    </row>
    <row r="385" spans="1:10">
      <c r="A385" t="s">
        <v>507</v>
      </c>
      <c r="B385">
        <v>52</v>
      </c>
      <c r="C385">
        <v>38</v>
      </c>
      <c r="D385">
        <v>18</v>
      </c>
      <c r="E385">
        <v>90</v>
      </c>
      <c r="F385">
        <v>76</v>
      </c>
      <c r="G385">
        <v>44</v>
      </c>
      <c r="H385">
        <v>50</v>
      </c>
      <c r="I385">
        <v>56</v>
      </c>
      <c r="J385" t="s">
        <v>1359</v>
      </c>
    </row>
    <row r="386" spans="1:10">
      <c r="A386" t="s">
        <v>508</v>
      </c>
      <c r="B386">
        <v>20</v>
      </c>
      <c r="C386">
        <v>42</v>
      </c>
      <c r="D386">
        <v>12</v>
      </c>
      <c r="E386">
        <v>87</v>
      </c>
      <c r="F386">
        <v>71</v>
      </c>
      <c r="G386">
        <v>19</v>
      </c>
      <c r="H386">
        <v>26</v>
      </c>
      <c r="I386">
        <v>32</v>
      </c>
      <c r="J386" t="s">
        <v>1359</v>
      </c>
    </row>
    <row r="387" spans="1:10">
      <c r="A387" t="s">
        <v>509</v>
      </c>
      <c r="B387">
        <v>366</v>
      </c>
      <c r="C387">
        <v>42</v>
      </c>
      <c r="D387">
        <v>2</v>
      </c>
      <c r="E387">
        <v>87</v>
      </c>
      <c r="F387">
        <v>71</v>
      </c>
      <c r="G387">
        <v>18</v>
      </c>
      <c r="H387">
        <v>24</v>
      </c>
      <c r="I387">
        <v>31</v>
      </c>
      <c r="J387" t="s">
        <v>1359</v>
      </c>
    </row>
    <row r="388" spans="1:10">
      <c r="A388" t="s">
        <v>510</v>
      </c>
      <c r="B388">
        <v>132</v>
      </c>
      <c r="C388">
        <v>41</v>
      </c>
      <c r="D388">
        <v>14</v>
      </c>
      <c r="E388">
        <v>82</v>
      </c>
      <c r="F388">
        <v>72</v>
      </c>
      <c r="G388">
        <v>32</v>
      </c>
      <c r="H388">
        <v>39</v>
      </c>
      <c r="I388">
        <v>45</v>
      </c>
      <c r="J388" t="s">
        <v>1359</v>
      </c>
    </row>
    <row r="389" spans="1:10">
      <c r="A389" t="s">
        <v>511</v>
      </c>
      <c r="B389">
        <v>190</v>
      </c>
      <c r="C389">
        <v>41</v>
      </c>
      <c r="D389">
        <v>9</v>
      </c>
      <c r="E389">
        <v>84</v>
      </c>
      <c r="F389">
        <v>71</v>
      </c>
      <c r="G389">
        <v>23</v>
      </c>
      <c r="H389">
        <v>30</v>
      </c>
      <c r="I389">
        <v>36</v>
      </c>
      <c r="J389" t="s">
        <v>1359</v>
      </c>
    </row>
    <row r="390" spans="1:10">
      <c r="A390" t="s">
        <v>512</v>
      </c>
      <c r="B390">
        <v>197</v>
      </c>
      <c r="C390">
        <v>42</v>
      </c>
      <c r="D390">
        <v>6</v>
      </c>
      <c r="E390">
        <v>86</v>
      </c>
      <c r="F390">
        <v>71</v>
      </c>
      <c r="G390">
        <v>22</v>
      </c>
      <c r="H390">
        <v>29</v>
      </c>
      <c r="I390">
        <v>35</v>
      </c>
      <c r="J390" t="s">
        <v>1359</v>
      </c>
    </row>
    <row r="391" spans="1:10">
      <c r="A391" t="s">
        <v>513</v>
      </c>
      <c r="B391">
        <v>11</v>
      </c>
      <c r="C391">
        <v>42</v>
      </c>
      <c r="D391">
        <v>5</v>
      </c>
      <c r="E391">
        <v>86</v>
      </c>
      <c r="F391">
        <v>71</v>
      </c>
      <c r="G391">
        <v>19</v>
      </c>
      <c r="H391">
        <v>25</v>
      </c>
      <c r="I391">
        <v>32</v>
      </c>
      <c r="J391" t="s">
        <v>1032</v>
      </c>
    </row>
    <row r="392" spans="1:10">
      <c r="A392" t="s">
        <v>514</v>
      </c>
      <c r="B392">
        <v>250</v>
      </c>
      <c r="C392">
        <v>42</v>
      </c>
      <c r="D392">
        <v>-2</v>
      </c>
      <c r="E392">
        <v>85</v>
      </c>
      <c r="F392">
        <v>71</v>
      </c>
      <c r="G392">
        <v>21</v>
      </c>
      <c r="H392">
        <v>27</v>
      </c>
      <c r="I392">
        <v>34</v>
      </c>
      <c r="J392" t="s">
        <v>1359</v>
      </c>
    </row>
    <row r="393" spans="1:10">
      <c r="A393" t="s">
        <v>515</v>
      </c>
      <c r="B393">
        <v>148</v>
      </c>
      <c r="C393">
        <v>42</v>
      </c>
      <c r="D393">
        <v>0</v>
      </c>
      <c r="E393">
        <v>87</v>
      </c>
      <c r="F393">
        <v>72</v>
      </c>
      <c r="G393">
        <v>24</v>
      </c>
      <c r="H393">
        <v>31</v>
      </c>
      <c r="I393">
        <v>37</v>
      </c>
      <c r="J393" t="s">
        <v>1359</v>
      </c>
    </row>
    <row r="394" spans="1:10">
      <c r="A394" t="s">
        <v>516</v>
      </c>
      <c r="B394">
        <v>102</v>
      </c>
      <c r="C394">
        <v>42</v>
      </c>
      <c r="D394">
        <v>1</v>
      </c>
      <c r="E394">
        <v>88</v>
      </c>
      <c r="F394">
        <v>72</v>
      </c>
      <c r="G394">
        <v>21</v>
      </c>
      <c r="H394">
        <v>28</v>
      </c>
      <c r="I394">
        <v>34</v>
      </c>
      <c r="J394" t="s">
        <v>1359</v>
      </c>
    </row>
    <row r="395" spans="1:10">
      <c r="A395" t="s">
        <v>517</v>
      </c>
      <c r="B395">
        <v>80</v>
      </c>
      <c r="C395">
        <v>41</v>
      </c>
      <c r="D395">
        <v>9</v>
      </c>
      <c r="E395">
        <v>82</v>
      </c>
      <c r="F395">
        <v>71</v>
      </c>
      <c r="G395">
        <v>27</v>
      </c>
      <c r="H395">
        <v>34</v>
      </c>
      <c r="I395">
        <v>40</v>
      </c>
      <c r="J395" t="s">
        <v>1359</v>
      </c>
    </row>
    <row r="396" spans="1:10">
      <c r="A396" t="s">
        <v>518</v>
      </c>
      <c r="B396">
        <v>1194</v>
      </c>
      <c r="C396">
        <v>42</v>
      </c>
      <c r="D396">
        <v>-3</v>
      </c>
      <c r="E396">
        <v>84</v>
      </c>
      <c r="F396">
        <v>70</v>
      </c>
      <c r="G396">
        <v>18</v>
      </c>
      <c r="H396">
        <v>25</v>
      </c>
      <c r="I396">
        <v>31</v>
      </c>
      <c r="J396" t="s">
        <v>1359</v>
      </c>
    </row>
    <row r="397" spans="1:10">
      <c r="A397" t="s">
        <v>519</v>
      </c>
      <c r="B397">
        <v>195</v>
      </c>
      <c r="C397">
        <v>42</v>
      </c>
      <c r="D397">
        <v>0</v>
      </c>
      <c r="E397">
        <v>87</v>
      </c>
      <c r="F397">
        <v>71</v>
      </c>
      <c r="G397">
        <v>19</v>
      </c>
      <c r="H397">
        <v>26</v>
      </c>
      <c r="I397">
        <v>32</v>
      </c>
      <c r="J397" t="s">
        <v>1359</v>
      </c>
    </row>
    <row r="398" spans="1:10">
      <c r="A398" t="s">
        <v>520</v>
      </c>
      <c r="B398">
        <v>43</v>
      </c>
      <c r="C398">
        <v>41</v>
      </c>
      <c r="D398">
        <v>9</v>
      </c>
      <c r="E398">
        <v>86</v>
      </c>
      <c r="F398">
        <v>72</v>
      </c>
      <c r="G398">
        <v>26</v>
      </c>
      <c r="H398">
        <v>33</v>
      </c>
      <c r="I398">
        <v>39</v>
      </c>
      <c r="J398" t="s">
        <v>1359</v>
      </c>
    </row>
    <row r="399" spans="1:10">
      <c r="A399" t="s">
        <v>521</v>
      </c>
      <c r="B399">
        <v>161</v>
      </c>
      <c r="C399">
        <v>42</v>
      </c>
      <c r="D399">
        <v>11</v>
      </c>
      <c r="E399">
        <v>87</v>
      </c>
      <c r="F399">
        <v>72</v>
      </c>
      <c r="G399">
        <v>24</v>
      </c>
      <c r="H399">
        <v>31</v>
      </c>
      <c r="I399">
        <v>37</v>
      </c>
      <c r="J399" t="s">
        <v>1359</v>
      </c>
    </row>
    <row r="400" spans="1:10">
      <c r="A400" t="s">
        <v>522</v>
      </c>
      <c r="B400">
        <v>986</v>
      </c>
      <c r="C400">
        <v>42</v>
      </c>
      <c r="D400">
        <v>5</v>
      </c>
      <c r="E400">
        <v>83</v>
      </c>
      <c r="F400">
        <v>69</v>
      </c>
      <c r="G400">
        <v>14</v>
      </c>
      <c r="H400">
        <v>21</v>
      </c>
      <c r="I400">
        <v>27</v>
      </c>
      <c r="J400" t="s">
        <v>1359</v>
      </c>
    </row>
    <row r="401" spans="1:13">
      <c r="A401" t="s">
        <v>2772</v>
      </c>
      <c r="B401">
        <v>798</v>
      </c>
      <c r="C401">
        <v>41</v>
      </c>
      <c r="D401">
        <v>3</v>
      </c>
      <c r="E401">
        <v>88</v>
      </c>
      <c r="F401">
        <v>72</v>
      </c>
      <c r="G401">
        <v>23</v>
      </c>
      <c r="H401">
        <v>30</v>
      </c>
      <c r="I401">
        <v>36</v>
      </c>
      <c r="J401" t="s">
        <v>1359</v>
      </c>
      <c r="L401"/>
      <c r="M401" s="190"/>
    </row>
    <row r="402" spans="1:13">
      <c r="A402" t="s">
        <v>523</v>
      </c>
      <c r="B402">
        <v>689</v>
      </c>
      <c r="C402">
        <v>45</v>
      </c>
      <c r="D402">
        <v>-1</v>
      </c>
      <c r="E402">
        <v>84</v>
      </c>
      <c r="F402">
        <v>69</v>
      </c>
      <c r="G402">
        <v>12</v>
      </c>
      <c r="H402">
        <v>19</v>
      </c>
      <c r="I402">
        <v>25</v>
      </c>
      <c r="J402" t="s">
        <v>1359</v>
      </c>
    </row>
    <row r="403" spans="1:13">
      <c r="A403" t="s">
        <v>524</v>
      </c>
      <c r="B403">
        <v>941</v>
      </c>
      <c r="C403">
        <v>42</v>
      </c>
      <c r="D403">
        <v>5</v>
      </c>
      <c r="E403">
        <v>88</v>
      </c>
      <c r="F403">
        <v>72</v>
      </c>
      <c r="G403">
        <v>23</v>
      </c>
      <c r="H403">
        <v>30</v>
      </c>
      <c r="I403">
        <v>36</v>
      </c>
      <c r="J403" t="s">
        <v>1359</v>
      </c>
    </row>
    <row r="404" spans="1:13">
      <c r="A404" t="s">
        <v>525</v>
      </c>
      <c r="B404">
        <v>643</v>
      </c>
      <c r="C404">
        <v>42</v>
      </c>
      <c r="D404">
        <v>5</v>
      </c>
      <c r="E404">
        <v>88</v>
      </c>
      <c r="F404">
        <v>72</v>
      </c>
      <c r="G404">
        <v>23</v>
      </c>
      <c r="H404">
        <v>30</v>
      </c>
      <c r="I404">
        <v>36</v>
      </c>
      <c r="J404" t="s">
        <v>1359</v>
      </c>
    </row>
    <row r="405" spans="1:13">
      <c r="A405" t="s">
        <v>526</v>
      </c>
      <c r="B405">
        <v>619</v>
      </c>
      <c r="C405">
        <v>42</v>
      </c>
      <c r="D405">
        <v>5</v>
      </c>
      <c r="E405">
        <v>87</v>
      </c>
      <c r="F405">
        <v>72</v>
      </c>
      <c r="G405">
        <v>24</v>
      </c>
      <c r="H405">
        <v>31</v>
      </c>
      <c r="I405">
        <v>37</v>
      </c>
      <c r="J405" t="s">
        <v>1359</v>
      </c>
    </row>
    <row r="406" spans="1:13">
      <c r="A406" t="s">
        <v>527</v>
      </c>
      <c r="B406">
        <v>609</v>
      </c>
      <c r="C406">
        <v>45</v>
      </c>
      <c r="D406">
        <v>-7</v>
      </c>
      <c r="E406">
        <v>83</v>
      </c>
      <c r="F406">
        <v>69</v>
      </c>
      <c r="G406">
        <v>14</v>
      </c>
      <c r="H406">
        <v>21</v>
      </c>
      <c r="I406">
        <v>27</v>
      </c>
      <c r="J406" t="s">
        <v>1359</v>
      </c>
    </row>
    <row r="407" spans="1:13">
      <c r="A407" t="s">
        <v>528</v>
      </c>
      <c r="B407">
        <v>771</v>
      </c>
      <c r="C407">
        <v>42</v>
      </c>
      <c r="D407">
        <v>3</v>
      </c>
      <c r="E407">
        <v>86</v>
      </c>
      <c r="F407">
        <v>71</v>
      </c>
      <c r="G407">
        <v>20</v>
      </c>
      <c r="H407">
        <v>27</v>
      </c>
      <c r="I407">
        <v>33</v>
      </c>
      <c r="J407" t="s">
        <v>1359</v>
      </c>
    </row>
    <row r="408" spans="1:13">
      <c r="A408" t="s">
        <v>529</v>
      </c>
      <c r="B408">
        <v>784</v>
      </c>
      <c r="C408">
        <v>42</v>
      </c>
      <c r="D408">
        <v>5</v>
      </c>
      <c r="E408">
        <v>86</v>
      </c>
      <c r="F408">
        <v>71</v>
      </c>
      <c r="G408">
        <v>20</v>
      </c>
      <c r="H408">
        <v>27</v>
      </c>
      <c r="I408">
        <v>33</v>
      </c>
      <c r="J408" t="s">
        <v>1359</v>
      </c>
    </row>
    <row r="409" spans="1:13">
      <c r="A409" t="s">
        <v>530</v>
      </c>
      <c r="B409">
        <v>1091</v>
      </c>
      <c r="C409">
        <v>47</v>
      </c>
      <c r="D409">
        <v>-4</v>
      </c>
      <c r="E409">
        <v>83</v>
      </c>
      <c r="F409">
        <v>69</v>
      </c>
      <c r="G409">
        <v>14</v>
      </c>
      <c r="H409">
        <v>21</v>
      </c>
      <c r="I409">
        <v>27</v>
      </c>
      <c r="J409" t="s">
        <v>1359</v>
      </c>
    </row>
    <row r="410" spans="1:13">
      <c r="A410" t="s">
        <v>531</v>
      </c>
      <c r="B410">
        <v>600</v>
      </c>
      <c r="C410">
        <v>44</v>
      </c>
      <c r="D410">
        <v>12</v>
      </c>
      <c r="E410">
        <v>86</v>
      </c>
      <c r="F410">
        <v>69</v>
      </c>
      <c r="G410">
        <v>9</v>
      </c>
      <c r="H410">
        <v>16</v>
      </c>
      <c r="I410">
        <v>22</v>
      </c>
      <c r="J410" t="s">
        <v>1359</v>
      </c>
    </row>
    <row r="411" spans="1:13">
      <c r="A411" t="s">
        <v>532</v>
      </c>
      <c r="B411">
        <v>603</v>
      </c>
      <c r="C411">
        <v>42</v>
      </c>
      <c r="D411">
        <v>6</v>
      </c>
      <c r="E411">
        <v>86</v>
      </c>
      <c r="F411">
        <v>71</v>
      </c>
      <c r="G411">
        <v>20</v>
      </c>
      <c r="H411">
        <v>27</v>
      </c>
      <c r="I411">
        <v>33</v>
      </c>
      <c r="J411" t="s">
        <v>1359</v>
      </c>
    </row>
    <row r="412" spans="1:13">
      <c r="A412" t="s">
        <v>533</v>
      </c>
      <c r="B412">
        <v>1001</v>
      </c>
      <c r="C412">
        <v>42</v>
      </c>
      <c r="D412">
        <v>4</v>
      </c>
      <c r="E412">
        <v>86</v>
      </c>
      <c r="F412">
        <v>73</v>
      </c>
      <c r="G412">
        <v>32</v>
      </c>
      <c r="H412">
        <v>39</v>
      </c>
      <c r="I412">
        <v>45</v>
      </c>
      <c r="J412" t="s">
        <v>1359</v>
      </c>
    </row>
    <row r="413" spans="1:13">
      <c r="A413" t="s">
        <v>534</v>
      </c>
      <c r="B413">
        <v>874</v>
      </c>
      <c r="C413">
        <v>42</v>
      </c>
      <c r="D413">
        <v>5</v>
      </c>
      <c r="E413">
        <v>88</v>
      </c>
      <c r="F413">
        <v>72</v>
      </c>
      <c r="G413">
        <v>23</v>
      </c>
      <c r="H413">
        <v>30</v>
      </c>
      <c r="I413">
        <v>36</v>
      </c>
      <c r="J413" t="s">
        <v>1359</v>
      </c>
    </row>
    <row r="414" spans="1:13">
      <c r="A414" t="s">
        <v>535</v>
      </c>
      <c r="B414">
        <v>841</v>
      </c>
      <c r="C414">
        <v>42</v>
      </c>
      <c r="D414">
        <v>2</v>
      </c>
      <c r="E414">
        <v>86</v>
      </c>
      <c r="F414">
        <v>72</v>
      </c>
      <c r="G414">
        <v>26</v>
      </c>
      <c r="H414">
        <v>33</v>
      </c>
      <c r="I414">
        <v>39</v>
      </c>
      <c r="J414" t="s">
        <v>1359</v>
      </c>
    </row>
    <row r="415" spans="1:13">
      <c r="A415" t="s">
        <v>536</v>
      </c>
      <c r="B415">
        <v>1424</v>
      </c>
      <c r="C415">
        <v>46</v>
      </c>
      <c r="D415">
        <v>-8</v>
      </c>
      <c r="E415">
        <v>82</v>
      </c>
      <c r="F415">
        <v>67</v>
      </c>
      <c r="G415">
        <v>5</v>
      </c>
      <c r="H415">
        <v>12</v>
      </c>
      <c r="I415">
        <v>18</v>
      </c>
      <c r="J415" t="s">
        <v>1359</v>
      </c>
    </row>
    <row r="416" spans="1:13">
      <c r="A416" t="s">
        <v>537</v>
      </c>
      <c r="B416">
        <v>1220</v>
      </c>
      <c r="C416">
        <v>46</v>
      </c>
      <c r="D416">
        <v>-6</v>
      </c>
      <c r="E416">
        <v>83</v>
      </c>
      <c r="F416">
        <v>69</v>
      </c>
      <c r="G416">
        <v>14</v>
      </c>
      <c r="H416">
        <v>21</v>
      </c>
      <c r="I416">
        <v>27</v>
      </c>
      <c r="J416" t="s">
        <v>1359</v>
      </c>
    </row>
    <row r="417" spans="1:10">
      <c r="A417" t="s">
        <v>538</v>
      </c>
      <c r="B417">
        <v>583</v>
      </c>
      <c r="C417">
        <v>42</v>
      </c>
      <c r="D417">
        <v>7</v>
      </c>
      <c r="E417">
        <v>87</v>
      </c>
      <c r="F417">
        <v>72</v>
      </c>
      <c r="G417">
        <v>24</v>
      </c>
      <c r="H417">
        <v>31</v>
      </c>
      <c r="I417">
        <v>37</v>
      </c>
      <c r="J417" t="s">
        <v>1359</v>
      </c>
    </row>
    <row r="418" spans="1:10">
      <c r="A418" t="s">
        <v>539</v>
      </c>
      <c r="B418">
        <v>755</v>
      </c>
      <c r="C418">
        <v>43</v>
      </c>
      <c r="D418">
        <v>4</v>
      </c>
      <c r="E418">
        <v>87</v>
      </c>
      <c r="F418">
        <v>72</v>
      </c>
      <c r="G418">
        <v>24</v>
      </c>
      <c r="H418">
        <v>31</v>
      </c>
      <c r="I418">
        <v>37</v>
      </c>
      <c r="J418" t="s">
        <v>1359</v>
      </c>
    </row>
    <row r="419" spans="1:10">
      <c r="A419" t="s">
        <v>540</v>
      </c>
      <c r="B419">
        <v>625</v>
      </c>
      <c r="C419">
        <v>43</v>
      </c>
      <c r="D419">
        <v>7</v>
      </c>
      <c r="E419">
        <v>83</v>
      </c>
      <c r="F419">
        <v>70</v>
      </c>
      <c r="G419">
        <v>19</v>
      </c>
      <c r="H419">
        <v>26</v>
      </c>
      <c r="I419">
        <v>32</v>
      </c>
      <c r="J419" t="s">
        <v>1359</v>
      </c>
    </row>
    <row r="420" spans="1:10">
      <c r="A420" t="s">
        <v>541</v>
      </c>
      <c r="B420">
        <v>634</v>
      </c>
      <c r="C420">
        <v>44</v>
      </c>
      <c r="D420">
        <v>3</v>
      </c>
      <c r="E420">
        <v>86</v>
      </c>
      <c r="F420">
        <v>71</v>
      </c>
      <c r="G420">
        <v>20</v>
      </c>
      <c r="H420">
        <v>27</v>
      </c>
      <c r="I420">
        <v>33</v>
      </c>
      <c r="J420" t="s">
        <v>1359</v>
      </c>
    </row>
    <row r="421" spans="1:10">
      <c r="A421" t="s">
        <v>542</v>
      </c>
      <c r="B421">
        <v>719</v>
      </c>
      <c r="C421">
        <v>45</v>
      </c>
      <c r="D421">
        <v>-3</v>
      </c>
      <c r="E421">
        <v>86</v>
      </c>
      <c r="F421">
        <v>69</v>
      </c>
      <c r="G421">
        <v>9</v>
      </c>
      <c r="H421">
        <v>16</v>
      </c>
      <c r="I421">
        <v>22</v>
      </c>
      <c r="J421" t="s">
        <v>1359</v>
      </c>
    </row>
    <row r="422" spans="1:10">
      <c r="A422" t="s">
        <v>543</v>
      </c>
      <c r="B422">
        <v>980</v>
      </c>
      <c r="C422">
        <v>42</v>
      </c>
      <c r="D422">
        <v>4</v>
      </c>
      <c r="E422">
        <v>87</v>
      </c>
      <c r="F422">
        <v>72</v>
      </c>
      <c r="G422">
        <v>24</v>
      </c>
      <c r="H422">
        <v>31</v>
      </c>
      <c r="I422">
        <v>37</v>
      </c>
      <c r="J422" t="s">
        <v>1359</v>
      </c>
    </row>
    <row r="423" spans="1:10">
      <c r="A423" t="s">
        <v>544</v>
      </c>
      <c r="B423">
        <v>586</v>
      </c>
      <c r="C423">
        <v>43</v>
      </c>
      <c r="D423">
        <v>4</v>
      </c>
      <c r="E423">
        <v>87</v>
      </c>
      <c r="F423">
        <v>72</v>
      </c>
      <c r="G423">
        <v>24</v>
      </c>
      <c r="H423">
        <v>31</v>
      </c>
      <c r="I423">
        <v>37</v>
      </c>
      <c r="J423" t="s">
        <v>1033</v>
      </c>
    </row>
    <row r="424" spans="1:10">
      <c r="A424" t="s">
        <v>545</v>
      </c>
      <c r="B424">
        <v>667</v>
      </c>
      <c r="C424">
        <v>43</v>
      </c>
      <c r="D424">
        <v>4</v>
      </c>
      <c r="E424">
        <v>87</v>
      </c>
      <c r="F424">
        <v>72</v>
      </c>
      <c r="G424">
        <v>24</v>
      </c>
      <c r="H424">
        <v>31</v>
      </c>
      <c r="I424">
        <v>37</v>
      </c>
      <c r="J424" t="s">
        <v>1359</v>
      </c>
    </row>
    <row r="425" spans="1:10">
      <c r="A425" t="s">
        <v>546</v>
      </c>
      <c r="B425">
        <v>721</v>
      </c>
      <c r="C425">
        <v>46</v>
      </c>
      <c r="D425">
        <v>-7</v>
      </c>
      <c r="E425">
        <v>80</v>
      </c>
      <c r="F425">
        <v>68</v>
      </c>
      <c r="G425">
        <v>13</v>
      </c>
      <c r="H425">
        <v>20</v>
      </c>
      <c r="I425">
        <v>26</v>
      </c>
      <c r="J425" t="s">
        <v>1359</v>
      </c>
    </row>
    <row r="426" spans="1:10">
      <c r="A426" t="s">
        <v>547</v>
      </c>
      <c r="B426">
        <v>591</v>
      </c>
      <c r="C426">
        <v>45</v>
      </c>
      <c r="D426">
        <v>4</v>
      </c>
      <c r="E426">
        <v>76</v>
      </c>
      <c r="F426">
        <v>65</v>
      </c>
      <c r="G426">
        <v>4</v>
      </c>
      <c r="H426">
        <v>11</v>
      </c>
      <c r="I426">
        <v>17</v>
      </c>
      <c r="J426" t="s">
        <v>1359</v>
      </c>
    </row>
    <row r="427" spans="1:10">
      <c r="A427" t="s">
        <v>548</v>
      </c>
      <c r="B427">
        <v>624</v>
      </c>
      <c r="C427">
        <v>44</v>
      </c>
      <c r="D427">
        <v>2</v>
      </c>
      <c r="E427">
        <v>86</v>
      </c>
      <c r="F427">
        <v>70</v>
      </c>
      <c r="G427">
        <v>14</v>
      </c>
      <c r="H427">
        <v>21</v>
      </c>
      <c r="I427">
        <v>27</v>
      </c>
      <c r="J427" t="s">
        <v>1359</v>
      </c>
    </row>
    <row r="428" spans="1:10">
      <c r="A428" t="s">
        <v>549</v>
      </c>
      <c r="B428">
        <v>716</v>
      </c>
      <c r="C428">
        <v>42</v>
      </c>
      <c r="D428">
        <v>5</v>
      </c>
      <c r="E428">
        <v>89</v>
      </c>
      <c r="F428">
        <v>71</v>
      </c>
      <c r="G428">
        <v>15</v>
      </c>
      <c r="H428">
        <v>22</v>
      </c>
      <c r="I428">
        <v>28</v>
      </c>
      <c r="J428" t="s">
        <v>1359</v>
      </c>
    </row>
    <row r="429" spans="1:10">
      <c r="A429" t="s">
        <v>550</v>
      </c>
      <c r="B429">
        <v>1259</v>
      </c>
      <c r="C429">
        <v>43</v>
      </c>
      <c r="D429">
        <v>-12</v>
      </c>
      <c r="E429">
        <v>87</v>
      </c>
      <c r="F429">
        <v>72</v>
      </c>
      <c r="G429">
        <v>24</v>
      </c>
      <c r="H429">
        <v>31</v>
      </c>
      <c r="I429">
        <v>37</v>
      </c>
      <c r="J429" t="s">
        <v>1359</v>
      </c>
    </row>
    <row r="430" spans="1:10">
      <c r="A430" t="s">
        <v>551</v>
      </c>
      <c r="B430">
        <v>1424</v>
      </c>
      <c r="C430">
        <v>45</v>
      </c>
      <c r="D430">
        <v>-15</v>
      </c>
      <c r="E430">
        <v>86</v>
      </c>
      <c r="F430">
        <v>70</v>
      </c>
      <c r="G430">
        <v>14</v>
      </c>
      <c r="H430">
        <v>21</v>
      </c>
      <c r="I430">
        <v>27</v>
      </c>
      <c r="J430" t="s">
        <v>1359</v>
      </c>
    </row>
    <row r="431" spans="1:10">
      <c r="A431" t="s">
        <v>552</v>
      </c>
      <c r="B431">
        <v>1389</v>
      </c>
      <c r="C431">
        <v>47</v>
      </c>
      <c r="D431">
        <v>-26</v>
      </c>
      <c r="E431">
        <v>85</v>
      </c>
      <c r="F431">
        <v>69</v>
      </c>
      <c r="G431">
        <v>11</v>
      </c>
      <c r="H431">
        <v>18</v>
      </c>
      <c r="I431">
        <v>24</v>
      </c>
      <c r="J431" t="s">
        <v>1359</v>
      </c>
    </row>
    <row r="432" spans="1:10">
      <c r="A432" t="s">
        <v>553</v>
      </c>
      <c r="B432">
        <v>1280</v>
      </c>
      <c r="C432">
        <v>46</v>
      </c>
      <c r="D432">
        <v>-17</v>
      </c>
      <c r="E432">
        <v>85</v>
      </c>
      <c r="F432">
        <v>68</v>
      </c>
      <c r="G432">
        <v>5</v>
      </c>
      <c r="H432">
        <v>12</v>
      </c>
      <c r="I432">
        <v>18</v>
      </c>
      <c r="J432" t="s">
        <v>1359</v>
      </c>
    </row>
    <row r="433" spans="1:13">
      <c r="A433" t="s">
        <v>554</v>
      </c>
      <c r="B433">
        <v>1428</v>
      </c>
      <c r="C433">
        <v>46</v>
      </c>
      <c r="D433">
        <v>-16</v>
      </c>
      <c r="E433">
        <v>81</v>
      </c>
      <c r="F433">
        <v>67</v>
      </c>
      <c r="G433">
        <v>6</v>
      </c>
      <c r="H433">
        <v>13</v>
      </c>
      <c r="I433">
        <v>19</v>
      </c>
      <c r="J433" t="s">
        <v>1359</v>
      </c>
    </row>
    <row r="434" spans="1:13">
      <c r="A434" t="s">
        <v>555</v>
      </c>
      <c r="B434">
        <v>1060</v>
      </c>
      <c r="C434">
        <v>44</v>
      </c>
      <c r="D434">
        <v>-12</v>
      </c>
      <c r="E434">
        <v>88</v>
      </c>
      <c r="F434">
        <v>72</v>
      </c>
      <c r="G434">
        <v>23</v>
      </c>
      <c r="H434">
        <v>30</v>
      </c>
      <c r="I434">
        <v>36</v>
      </c>
      <c r="J434" t="s">
        <v>1359</v>
      </c>
    </row>
    <row r="435" spans="1:13">
      <c r="A435" t="s">
        <v>556</v>
      </c>
      <c r="B435">
        <v>1182</v>
      </c>
      <c r="C435">
        <v>46</v>
      </c>
      <c r="D435">
        <v>-17</v>
      </c>
      <c r="E435">
        <v>88</v>
      </c>
      <c r="F435">
        <v>72</v>
      </c>
      <c r="G435">
        <v>23</v>
      </c>
      <c r="H435">
        <v>30</v>
      </c>
      <c r="I435">
        <v>36</v>
      </c>
      <c r="J435" t="s">
        <v>1359</v>
      </c>
    </row>
    <row r="436" spans="1:13">
      <c r="A436" t="s">
        <v>557</v>
      </c>
      <c r="B436">
        <v>1352</v>
      </c>
      <c r="C436">
        <v>47</v>
      </c>
      <c r="D436">
        <v>-20</v>
      </c>
      <c r="E436">
        <v>81</v>
      </c>
      <c r="F436">
        <v>68</v>
      </c>
      <c r="G436">
        <v>12</v>
      </c>
      <c r="H436">
        <v>19</v>
      </c>
      <c r="I436">
        <v>25</v>
      </c>
      <c r="J436" t="s">
        <v>1359</v>
      </c>
    </row>
    <row r="437" spans="1:13">
      <c r="A437" t="s">
        <v>558</v>
      </c>
      <c r="B437">
        <v>1179</v>
      </c>
      <c r="C437">
        <v>48</v>
      </c>
      <c r="D437">
        <v>-23</v>
      </c>
      <c r="E437">
        <v>83</v>
      </c>
      <c r="F437">
        <v>67</v>
      </c>
      <c r="G437">
        <v>3</v>
      </c>
      <c r="H437">
        <v>10</v>
      </c>
      <c r="I437">
        <v>16</v>
      </c>
      <c r="J437" t="s">
        <v>1359</v>
      </c>
    </row>
    <row r="438" spans="1:13">
      <c r="A438" t="s">
        <v>2773</v>
      </c>
      <c r="B438">
        <v>1020</v>
      </c>
      <c r="C438">
        <v>44</v>
      </c>
      <c r="D438">
        <v>-12</v>
      </c>
      <c r="E438">
        <v>88</v>
      </c>
      <c r="F438">
        <v>72</v>
      </c>
      <c r="G438">
        <v>23</v>
      </c>
      <c r="H438">
        <v>30</v>
      </c>
      <c r="I438">
        <v>36</v>
      </c>
      <c r="J438" t="s">
        <v>1359</v>
      </c>
      <c r="L438"/>
      <c r="M438" s="190"/>
    </row>
    <row r="439" spans="1:13">
      <c r="A439" t="s">
        <v>559</v>
      </c>
      <c r="B439">
        <v>834</v>
      </c>
      <c r="C439">
        <v>44</v>
      </c>
      <c r="D439">
        <v>-11</v>
      </c>
      <c r="E439">
        <v>88</v>
      </c>
      <c r="F439">
        <v>71</v>
      </c>
      <c r="G439">
        <v>17</v>
      </c>
      <c r="H439">
        <v>24</v>
      </c>
      <c r="I439">
        <v>30</v>
      </c>
      <c r="J439" t="s">
        <v>1359</v>
      </c>
    </row>
    <row r="440" spans="1:13">
      <c r="A440" t="s">
        <v>560</v>
      </c>
      <c r="B440">
        <v>1024</v>
      </c>
      <c r="C440">
        <v>44</v>
      </c>
      <c r="D440">
        <v>-12</v>
      </c>
      <c r="E440">
        <v>88</v>
      </c>
      <c r="F440">
        <v>72</v>
      </c>
      <c r="G440">
        <v>23</v>
      </c>
      <c r="H440">
        <v>30</v>
      </c>
      <c r="I440">
        <v>36</v>
      </c>
      <c r="J440" t="s">
        <v>1359</v>
      </c>
    </row>
    <row r="441" spans="1:13">
      <c r="A441" t="s">
        <v>561</v>
      </c>
      <c r="B441">
        <v>1297</v>
      </c>
      <c r="C441">
        <v>44</v>
      </c>
      <c r="D441">
        <v>-12</v>
      </c>
      <c r="E441">
        <v>85</v>
      </c>
      <c r="F441">
        <v>71</v>
      </c>
      <c r="G441">
        <v>22</v>
      </c>
      <c r="H441">
        <v>29</v>
      </c>
      <c r="I441">
        <v>35</v>
      </c>
      <c r="J441" t="s">
        <v>1359</v>
      </c>
    </row>
    <row r="442" spans="1:13">
      <c r="A442" t="s">
        <v>562</v>
      </c>
      <c r="B442">
        <v>1024</v>
      </c>
      <c r="C442">
        <v>45</v>
      </c>
      <c r="D442">
        <v>-14</v>
      </c>
      <c r="E442">
        <v>88</v>
      </c>
      <c r="F442">
        <v>71</v>
      </c>
      <c r="G442">
        <v>17</v>
      </c>
      <c r="H442">
        <v>24</v>
      </c>
      <c r="I442">
        <v>30</v>
      </c>
      <c r="J442" t="s">
        <v>1359</v>
      </c>
    </row>
    <row r="443" spans="1:13">
      <c r="A443" t="s">
        <v>563</v>
      </c>
      <c r="B443">
        <v>791</v>
      </c>
      <c r="C443">
        <v>47</v>
      </c>
      <c r="D443">
        <v>-6</v>
      </c>
      <c r="E443">
        <v>75</v>
      </c>
      <c r="F443">
        <v>62</v>
      </c>
      <c r="G443">
        <v>-9</v>
      </c>
      <c r="H443">
        <v>-2</v>
      </c>
      <c r="I443">
        <v>4</v>
      </c>
      <c r="J443" t="s">
        <v>1359</v>
      </c>
    </row>
    <row r="444" spans="1:13">
      <c r="A444" t="s">
        <v>564</v>
      </c>
      <c r="B444">
        <v>909</v>
      </c>
      <c r="C444">
        <v>47</v>
      </c>
      <c r="D444">
        <v>-21</v>
      </c>
      <c r="E444">
        <v>83</v>
      </c>
      <c r="F444">
        <v>68</v>
      </c>
      <c r="G444">
        <v>8</v>
      </c>
      <c r="H444">
        <v>15</v>
      </c>
      <c r="I444">
        <v>22</v>
      </c>
      <c r="J444" t="s">
        <v>1359</v>
      </c>
    </row>
    <row r="445" spans="1:13">
      <c r="A445" t="s">
        <v>565</v>
      </c>
      <c r="B445">
        <v>1127</v>
      </c>
      <c r="C445">
        <v>45</v>
      </c>
      <c r="D445">
        <v>-11</v>
      </c>
      <c r="E445">
        <v>88</v>
      </c>
      <c r="F445">
        <v>72</v>
      </c>
      <c r="G445">
        <v>23</v>
      </c>
      <c r="H445">
        <v>30</v>
      </c>
      <c r="I445">
        <v>36</v>
      </c>
      <c r="J445" t="s">
        <v>1359</v>
      </c>
    </row>
    <row r="446" spans="1:13">
      <c r="A446" t="s">
        <v>566</v>
      </c>
      <c r="B446">
        <v>656</v>
      </c>
      <c r="C446">
        <v>44</v>
      </c>
      <c r="D446">
        <v>-10</v>
      </c>
      <c r="E446">
        <v>88</v>
      </c>
      <c r="F446">
        <v>73</v>
      </c>
      <c r="G446">
        <v>29</v>
      </c>
      <c r="H446">
        <v>36</v>
      </c>
      <c r="I446">
        <v>42</v>
      </c>
      <c r="J446" t="s">
        <v>1359</v>
      </c>
    </row>
    <row r="447" spans="1:13">
      <c r="A447" t="s">
        <v>567</v>
      </c>
      <c r="B447">
        <v>26</v>
      </c>
      <c r="C447">
        <v>30</v>
      </c>
      <c r="D447">
        <v>35</v>
      </c>
      <c r="E447">
        <v>91</v>
      </c>
      <c r="F447">
        <v>78</v>
      </c>
      <c r="G447">
        <v>56</v>
      </c>
      <c r="H447">
        <v>63</v>
      </c>
      <c r="I447">
        <v>69</v>
      </c>
      <c r="J447" t="s">
        <v>1359</v>
      </c>
    </row>
    <row r="448" spans="1:13">
      <c r="A448" t="s">
        <v>568</v>
      </c>
      <c r="B448">
        <v>173</v>
      </c>
      <c r="C448">
        <v>34</v>
      </c>
      <c r="D448">
        <v>19</v>
      </c>
      <c r="E448">
        <v>94</v>
      </c>
      <c r="F448">
        <v>77</v>
      </c>
      <c r="G448">
        <v>44</v>
      </c>
      <c r="H448">
        <v>51</v>
      </c>
      <c r="I448">
        <v>57</v>
      </c>
      <c r="J448" t="s">
        <v>1359</v>
      </c>
    </row>
    <row r="449" spans="1:10">
      <c r="A449" t="s">
        <v>569</v>
      </c>
      <c r="B449">
        <v>219</v>
      </c>
      <c r="C449">
        <v>33</v>
      </c>
      <c r="D449">
        <v>25</v>
      </c>
      <c r="E449">
        <v>94</v>
      </c>
      <c r="F449">
        <v>76</v>
      </c>
      <c r="G449">
        <v>37</v>
      </c>
      <c r="H449">
        <v>44</v>
      </c>
      <c r="I449">
        <v>50</v>
      </c>
      <c r="J449" t="s">
        <v>1359</v>
      </c>
    </row>
    <row r="450" spans="1:10">
      <c r="A450" t="s">
        <v>570</v>
      </c>
      <c r="B450">
        <v>131</v>
      </c>
      <c r="C450">
        <v>33</v>
      </c>
      <c r="D450">
        <v>20</v>
      </c>
      <c r="E450">
        <v>93</v>
      </c>
      <c r="F450">
        <v>77</v>
      </c>
      <c r="G450">
        <v>46</v>
      </c>
      <c r="H450">
        <v>53</v>
      </c>
      <c r="I450">
        <v>59</v>
      </c>
      <c r="J450" t="s">
        <v>1359</v>
      </c>
    </row>
    <row r="451" spans="1:10">
      <c r="A451" t="s">
        <v>571</v>
      </c>
      <c r="B451">
        <v>154</v>
      </c>
      <c r="C451">
        <v>33</v>
      </c>
      <c r="D451">
        <v>24</v>
      </c>
      <c r="E451">
        <v>94</v>
      </c>
      <c r="F451">
        <v>78</v>
      </c>
      <c r="G451">
        <v>51</v>
      </c>
      <c r="H451">
        <v>58</v>
      </c>
      <c r="I451">
        <v>64</v>
      </c>
      <c r="J451" t="s">
        <v>1359</v>
      </c>
    </row>
    <row r="452" spans="1:10">
      <c r="A452" t="s">
        <v>572</v>
      </c>
      <c r="B452">
        <v>151</v>
      </c>
      <c r="C452">
        <v>31</v>
      </c>
      <c r="D452">
        <v>27</v>
      </c>
      <c r="E452">
        <v>94</v>
      </c>
      <c r="F452">
        <v>77</v>
      </c>
      <c r="G452">
        <v>44</v>
      </c>
      <c r="H452">
        <v>51</v>
      </c>
      <c r="I452">
        <v>57</v>
      </c>
      <c r="J452" t="s">
        <v>1359</v>
      </c>
    </row>
    <row r="453" spans="1:10">
      <c r="A453" t="s">
        <v>573</v>
      </c>
      <c r="B453">
        <v>310</v>
      </c>
      <c r="C453">
        <v>32</v>
      </c>
      <c r="D453">
        <v>25</v>
      </c>
      <c r="E453">
        <v>93</v>
      </c>
      <c r="F453">
        <v>76</v>
      </c>
      <c r="G453">
        <v>36</v>
      </c>
      <c r="H453">
        <v>46</v>
      </c>
      <c r="I453">
        <v>52</v>
      </c>
      <c r="J453" t="s">
        <v>1359</v>
      </c>
    </row>
    <row r="454" spans="1:10">
      <c r="A454" t="s">
        <v>574</v>
      </c>
      <c r="B454">
        <v>238</v>
      </c>
      <c r="C454">
        <v>31</v>
      </c>
      <c r="D454">
        <v>27</v>
      </c>
      <c r="E454">
        <v>94</v>
      </c>
      <c r="F454">
        <v>77</v>
      </c>
      <c r="G454">
        <v>44</v>
      </c>
      <c r="H454">
        <v>51</v>
      </c>
      <c r="I454">
        <v>57</v>
      </c>
      <c r="J454" t="s">
        <v>1359</v>
      </c>
    </row>
    <row r="455" spans="1:10">
      <c r="A455" t="s">
        <v>575</v>
      </c>
      <c r="B455">
        <v>413</v>
      </c>
      <c r="C455">
        <v>31</v>
      </c>
      <c r="D455">
        <v>28</v>
      </c>
      <c r="E455">
        <v>92</v>
      </c>
      <c r="F455">
        <v>76</v>
      </c>
      <c r="G455">
        <v>41</v>
      </c>
      <c r="H455">
        <v>48</v>
      </c>
      <c r="I455">
        <v>54</v>
      </c>
      <c r="J455" t="s">
        <v>1359</v>
      </c>
    </row>
    <row r="456" spans="1:10">
      <c r="A456" t="s">
        <v>576</v>
      </c>
      <c r="B456">
        <v>317</v>
      </c>
      <c r="C456">
        <v>32</v>
      </c>
      <c r="D456">
        <v>25</v>
      </c>
      <c r="E456">
        <v>94</v>
      </c>
      <c r="F456">
        <v>76</v>
      </c>
      <c r="G456">
        <v>37</v>
      </c>
      <c r="H456">
        <v>44</v>
      </c>
      <c r="I456">
        <v>50</v>
      </c>
      <c r="J456" t="s">
        <v>1359</v>
      </c>
    </row>
    <row r="457" spans="1:10">
      <c r="A457" t="s">
        <v>577</v>
      </c>
      <c r="B457">
        <v>272</v>
      </c>
      <c r="C457">
        <v>31</v>
      </c>
      <c r="D457">
        <v>27</v>
      </c>
      <c r="E457">
        <v>94</v>
      </c>
      <c r="F457">
        <v>78</v>
      </c>
      <c r="G457">
        <v>51</v>
      </c>
      <c r="H457">
        <v>58</v>
      </c>
      <c r="I457">
        <v>64</v>
      </c>
      <c r="J457" t="s">
        <v>1359</v>
      </c>
    </row>
    <row r="458" spans="1:10">
      <c r="A458" t="s">
        <v>578</v>
      </c>
      <c r="B458">
        <v>361</v>
      </c>
      <c r="C458">
        <v>34</v>
      </c>
      <c r="D458">
        <v>22</v>
      </c>
      <c r="E458">
        <v>94</v>
      </c>
      <c r="F458">
        <v>76</v>
      </c>
      <c r="G458">
        <v>37</v>
      </c>
      <c r="H458">
        <v>44</v>
      </c>
      <c r="I458">
        <v>50</v>
      </c>
      <c r="J458" t="s">
        <v>1359</v>
      </c>
    </row>
    <row r="459" spans="1:10">
      <c r="A459" t="s">
        <v>579</v>
      </c>
      <c r="B459">
        <v>106</v>
      </c>
      <c r="C459">
        <v>32</v>
      </c>
      <c r="D459">
        <v>26</v>
      </c>
      <c r="E459">
        <v>95</v>
      </c>
      <c r="F459">
        <v>78</v>
      </c>
      <c r="G459">
        <v>49</v>
      </c>
      <c r="H459">
        <v>56</v>
      </c>
      <c r="I459">
        <v>62</v>
      </c>
      <c r="J459" t="s">
        <v>1359</v>
      </c>
    </row>
    <row r="460" spans="1:10">
      <c r="A460" t="s">
        <v>580</v>
      </c>
      <c r="B460">
        <v>341</v>
      </c>
      <c r="C460">
        <v>37</v>
      </c>
      <c r="D460">
        <v>13</v>
      </c>
      <c r="E460">
        <v>94</v>
      </c>
      <c r="F460">
        <v>77</v>
      </c>
      <c r="G460">
        <v>44</v>
      </c>
      <c r="H460">
        <v>51</v>
      </c>
      <c r="I460">
        <v>57</v>
      </c>
      <c r="J460" t="s">
        <v>1359</v>
      </c>
    </row>
    <row r="461" spans="1:10">
      <c r="A461" t="s">
        <v>581</v>
      </c>
      <c r="B461">
        <v>778</v>
      </c>
      <c r="C461">
        <v>39</v>
      </c>
      <c r="D461">
        <v>5</v>
      </c>
      <c r="E461">
        <v>92</v>
      </c>
      <c r="F461">
        <v>75</v>
      </c>
      <c r="G461">
        <v>34</v>
      </c>
      <c r="H461">
        <v>41</v>
      </c>
      <c r="I461">
        <v>47</v>
      </c>
      <c r="J461" t="s">
        <v>1359</v>
      </c>
    </row>
    <row r="462" spans="1:10">
      <c r="A462" t="s">
        <v>582</v>
      </c>
      <c r="B462">
        <v>946</v>
      </c>
      <c r="C462">
        <v>37</v>
      </c>
      <c r="D462">
        <v>8</v>
      </c>
      <c r="E462">
        <v>93</v>
      </c>
      <c r="F462">
        <v>75</v>
      </c>
      <c r="G462">
        <v>33</v>
      </c>
      <c r="H462">
        <v>40</v>
      </c>
      <c r="I462">
        <v>46</v>
      </c>
      <c r="J462" t="s">
        <v>1359</v>
      </c>
    </row>
    <row r="463" spans="1:10">
      <c r="A463" t="s">
        <v>583</v>
      </c>
      <c r="B463">
        <v>712</v>
      </c>
      <c r="C463">
        <v>39</v>
      </c>
      <c r="D463">
        <v>3</v>
      </c>
      <c r="E463">
        <v>93</v>
      </c>
      <c r="F463">
        <v>76</v>
      </c>
      <c r="G463">
        <v>39</v>
      </c>
      <c r="H463">
        <v>46</v>
      </c>
      <c r="I463">
        <v>52</v>
      </c>
      <c r="J463" t="s">
        <v>1359</v>
      </c>
    </row>
    <row r="464" spans="1:10">
      <c r="A464" t="s">
        <v>584</v>
      </c>
      <c r="B464">
        <v>770</v>
      </c>
      <c r="C464">
        <v>38</v>
      </c>
      <c r="D464">
        <v>7</v>
      </c>
      <c r="E464">
        <v>95</v>
      </c>
      <c r="F464">
        <v>74</v>
      </c>
      <c r="G464">
        <v>23</v>
      </c>
      <c r="H464">
        <v>30</v>
      </c>
      <c r="I464">
        <v>36</v>
      </c>
      <c r="J464" t="s">
        <v>1359</v>
      </c>
    </row>
    <row r="465" spans="1:10">
      <c r="A465" t="s">
        <v>585</v>
      </c>
      <c r="B465">
        <v>980</v>
      </c>
      <c r="C465">
        <v>37</v>
      </c>
      <c r="D465">
        <v>11</v>
      </c>
      <c r="E465">
        <v>94</v>
      </c>
      <c r="F465">
        <v>75</v>
      </c>
      <c r="G465">
        <v>31</v>
      </c>
      <c r="H465">
        <v>38</v>
      </c>
      <c r="I465">
        <v>44</v>
      </c>
      <c r="J465" t="s">
        <v>1359</v>
      </c>
    </row>
    <row r="466" spans="1:10">
      <c r="A466" t="s">
        <v>586</v>
      </c>
      <c r="B466">
        <v>791</v>
      </c>
      <c r="C466">
        <v>39</v>
      </c>
      <c r="D466">
        <v>4</v>
      </c>
      <c r="E466">
        <v>93</v>
      </c>
      <c r="F466">
        <v>75</v>
      </c>
      <c r="G466">
        <v>33</v>
      </c>
      <c r="H466">
        <v>40</v>
      </c>
      <c r="I466">
        <v>46</v>
      </c>
      <c r="J466" t="s">
        <v>1359</v>
      </c>
    </row>
    <row r="467" spans="1:10">
      <c r="A467" t="s">
        <v>587</v>
      </c>
      <c r="B467">
        <v>966</v>
      </c>
      <c r="C467">
        <v>40</v>
      </c>
      <c r="D467">
        <v>0</v>
      </c>
      <c r="E467">
        <v>93</v>
      </c>
      <c r="F467">
        <v>74</v>
      </c>
      <c r="G467">
        <v>27</v>
      </c>
      <c r="H467">
        <v>34</v>
      </c>
      <c r="I467">
        <v>40</v>
      </c>
      <c r="J467" t="s">
        <v>1359</v>
      </c>
    </row>
    <row r="468" spans="1:10">
      <c r="A468" t="s">
        <v>588</v>
      </c>
      <c r="B468">
        <v>823</v>
      </c>
      <c r="C468">
        <v>39</v>
      </c>
      <c r="D468">
        <v>4</v>
      </c>
      <c r="E468">
        <v>94</v>
      </c>
      <c r="F468">
        <v>74</v>
      </c>
      <c r="G468">
        <v>25</v>
      </c>
      <c r="H468">
        <v>32</v>
      </c>
      <c r="I468">
        <v>38</v>
      </c>
      <c r="J468" t="s">
        <v>1359</v>
      </c>
    </row>
    <row r="469" spans="1:10">
      <c r="A469" t="s">
        <v>589</v>
      </c>
      <c r="B469">
        <v>867</v>
      </c>
      <c r="C469">
        <v>39</v>
      </c>
      <c r="D469">
        <v>3</v>
      </c>
      <c r="E469">
        <v>94</v>
      </c>
      <c r="F469">
        <v>74</v>
      </c>
      <c r="G469">
        <v>25</v>
      </c>
      <c r="H469">
        <v>32</v>
      </c>
      <c r="I469">
        <v>38</v>
      </c>
      <c r="J469" t="s">
        <v>1359</v>
      </c>
    </row>
    <row r="470" spans="1:10">
      <c r="A470" t="s">
        <v>590</v>
      </c>
      <c r="B470">
        <v>479</v>
      </c>
      <c r="C470">
        <v>36</v>
      </c>
      <c r="D470">
        <v>13</v>
      </c>
      <c r="E470">
        <v>92</v>
      </c>
      <c r="F470">
        <v>76</v>
      </c>
      <c r="G470">
        <v>41</v>
      </c>
      <c r="H470">
        <v>48</v>
      </c>
      <c r="I470">
        <v>54</v>
      </c>
      <c r="J470" t="s">
        <v>1359</v>
      </c>
    </row>
    <row r="471" spans="1:10">
      <c r="A471" t="s">
        <v>591</v>
      </c>
      <c r="B471">
        <v>987</v>
      </c>
      <c r="C471">
        <v>38</v>
      </c>
      <c r="D471">
        <v>9</v>
      </c>
      <c r="E471">
        <v>91</v>
      </c>
      <c r="F471">
        <v>75</v>
      </c>
      <c r="G471">
        <v>36</v>
      </c>
      <c r="H471">
        <v>43</v>
      </c>
      <c r="I471">
        <v>49</v>
      </c>
      <c r="J471" t="s">
        <v>1359</v>
      </c>
    </row>
    <row r="472" spans="1:10">
      <c r="A472" t="s">
        <v>2749</v>
      </c>
      <c r="B472">
        <v>825</v>
      </c>
      <c r="C472">
        <v>39</v>
      </c>
      <c r="D472">
        <v>2</v>
      </c>
      <c r="E472">
        <v>93</v>
      </c>
      <c r="F472">
        <v>76</v>
      </c>
      <c r="G472">
        <v>39</v>
      </c>
      <c r="H472">
        <v>46</v>
      </c>
      <c r="I472">
        <v>52</v>
      </c>
      <c r="J472" t="s">
        <v>1359</v>
      </c>
    </row>
    <row r="473" spans="1:10">
      <c r="A473" t="s">
        <v>2750</v>
      </c>
      <c r="B473">
        <v>535</v>
      </c>
      <c r="C473">
        <v>38</v>
      </c>
      <c r="D473">
        <v>8</v>
      </c>
      <c r="E473">
        <v>93</v>
      </c>
      <c r="F473">
        <v>75</v>
      </c>
      <c r="G473">
        <v>33</v>
      </c>
      <c r="H473">
        <v>40</v>
      </c>
      <c r="I473">
        <v>46</v>
      </c>
      <c r="J473" t="s">
        <v>1359</v>
      </c>
    </row>
    <row r="474" spans="1:10">
      <c r="A474" t="s">
        <v>2751</v>
      </c>
      <c r="B474">
        <v>580</v>
      </c>
      <c r="C474">
        <v>38</v>
      </c>
      <c r="D474">
        <v>8</v>
      </c>
      <c r="E474">
        <v>94</v>
      </c>
      <c r="F474">
        <v>75</v>
      </c>
      <c r="G474">
        <v>31</v>
      </c>
      <c r="H474">
        <v>38</v>
      </c>
      <c r="I474">
        <v>44</v>
      </c>
      <c r="J474" t="s">
        <v>1359</v>
      </c>
    </row>
    <row r="475" spans="1:10">
      <c r="A475" t="s">
        <v>592</v>
      </c>
      <c r="B475">
        <v>909</v>
      </c>
      <c r="C475">
        <v>38</v>
      </c>
      <c r="D475">
        <v>4</v>
      </c>
      <c r="E475">
        <v>92</v>
      </c>
      <c r="F475">
        <v>76</v>
      </c>
      <c r="G475">
        <v>41</v>
      </c>
      <c r="H475">
        <v>48</v>
      </c>
      <c r="I475">
        <v>54</v>
      </c>
      <c r="J475" t="s">
        <v>1359</v>
      </c>
    </row>
    <row r="476" spans="1:10">
      <c r="A476" t="s">
        <v>593</v>
      </c>
      <c r="B476">
        <v>315</v>
      </c>
      <c r="C476">
        <v>36</v>
      </c>
      <c r="D476">
        <v>15</v>
      </c>
      <c r="E476">
        <v>95</v>
      </c>
      <c r="F476">
        <v>76</v>
      </c>
      <c r="G476">
        <v>36</v>
      </c>
      <c r="H476">
        <v>43</v>
      </c>
      <c r="I476">
        <v>49</v>
      </c>
      <c r="J476" t="s">
        <v>1359</v>
      </c>
    </row>
    <row r="477" spans="1:10">
      <c r="A477" t="s">
        <v>594</v>
      </c>
      <c r="B477">
        <v>886</v>
      </c>
      <c r="C477">
        <v>40</v>
      </c>
      <c r="D477">
        <v>6</v>
      </c>
      <c r="E477">
        <v>93</v>
      </c>
      <c r="F477">
        <v>73</v>
      </c>
      <c r="G477">
        <v>20</v>
      </c>
      <c r="H477">
        <v>27</v>
      </c>
      <c r="I477">
        <v>33</v>
      </c>
      <c r="J477" t="s">
        <v>1359</v>
      </c>
    </row>
    <row r="478" spans="1:10">
      <c r="A478" t="s">
        <v>595</v>
      </c>
      <c r="B478">
        <v>1268</v>
      </c>
      <c r="C478">
        <v>37</v>
      </c>
      <c r="D478">
        <v>9</v>
      </c>
      <c r="E478">
        <v>92</v>
      </c>
      <c r="F478">
        <v>74</v>
      </c>
      <c r="G478">
        <v>28</v>
      </c>
      <c r="H478">
        <v>35</v>
      </c>
      <c r="I478">
        <v>41</v>
      </c>
      <c r="J478" t="s">
        <v>1359</v>
      </c>
    </row>
    <row r="479" spans="1:10">
      <c r="A479" t="s">
        <v>596</v>
      </c>
      <c r="B479">
        <v>869</v>
      </c>
      <c r="C479">
        <v>38</v>
      </c>
      <c r="D479">
        <v>7</v>
      </c>
      <c r="E479">
        <v>93</v>
      </c>
      <c r="F479">
        <v>76</v>
      </c>
      <c r="G479">
        <v>39</v>
      </c>
      <c r="H479">
        <v>46</v>
      </c>
      <c r="I479">
        <v>52</v>
      </c>
      <c r="J479" t="s">
        <v>1359</v>
      </c>
    </row>
    <row r="480" spans="1:10">
      <c r="A480" t="s">
        <v>597</v>
      </c>
      <c r="B480">
        <v>3567</v>
      </c>
      <c r="C480">
        <v>45</v>
      </c>
      <c r="D480">
        <v>-7</v>
      </c>
      <c r="E480">
        <v>90</v>
      </c>
      <c r="F480">
        <v>62</v>
      </c>
      <c r="G480">
        <v>-31</v>
      </c>
      <c r="H480">
        <v>-24</v>
      </c>
      <c r="I480">
        <v>-18</v>
      </c>
      <c r="J480" t="s">
        <v>1033</v>
      </c>
    </row>
    <row r="481" spans="1:10">
      <c r="A481" t="s">
        <v>598</v>
      </c>
      <c r="B481">
        <v>4475</v>
      </c>
      <c r="C481">
        <v>45</v>
      </c>
      <c r="D481">
        <v>-12</v>
      </c>
      <c r="E481">
        <v>87</v>
      </c>
      <c r="F481">
        <v>60</v>
      </c>
      <c r="G481">
        <v>-36</v>
      </c>
      <c r="H481">
        <v>-29</v>
      </c>
      <c r="I481">
        <v>-23</v>
      </c>
      <c r="J481" t="s">
        <v>1033</v>
      </c>
    </row>
    <row r="482" spans="1:10">
      <c r="A482" t="s">
        <v>599</v>
      </c>
      <c r="B482">
        <v>5553</v>
      </c>
      <c r="C482">
        <v>46</v>
      </c>
      <c r="D482">
        <v>-14</v>
      </c>
      <c r="E482">
        <v>84</v>
      </c>
      <c r="F482">
        <v>56</v>
      </c>
      <c r="G482">
        <v>-51</v>
      </c>
      <c r="H482">
        <v>-44</v>
      </c>
      <c r="I482">
        <v>-38</v>
      </c>
      <c r="J482" t="s">
        <v>1359</v>
      </c>
    </row>
    <row r="483" spans="1:10">
      <c r="A483" t="s">
        <v>600</v>
      </c>
      <c r="B483">
        <v>3838</v>
      </c>
      <c r="C483">
        <v>48</v>
      </c>
      <c r="D483">
        <v>-16</v>
      </c>
      <c r="E483">
        <v>84</v>
      </c>
      <c r="F483">
        <v>59</v>
      </c>
      <c r="G483">
        <v>-36</v>
      </c>
      <c r="H483">
        <v>-29</v>
      </c>
      <c r="I483">
        <v>-23</v>
      </c>
      <c r="J483" t="s">
        <v>1359</v>
      </c>
    </row>
    <row r="484" spans="1:10">
      <c r="A484" t="s">
        <v>601</v>
      </c>
      <c r="B484">
        <v>2760</v>
      </c>
      <c r="C484">
        <v>48</v>
      </c>
      <c r="D484">
        <v>-17</v>
      </c>
      <c r="E484">
        <v>90</v>
      </c>
      <c r="F484">
        <v>63</v>
      </c>
      <c r="G484">
        <v>-28</v>
      </c>
      <c r="H484">
        <v>-21</v>
      </c>
      <c r="I484">
        <v>-15</v>
      </c>
      <c r="J484" t="s">
        <v>1033</v>
      </c>
    </row>
    <row r="485" spans="1:10">
      <c r="A485" t="s">
        <v>602</v>
      </c>
      <c r="B485">
        <v>2456</v>
      </c>
      <c r="C485">
        <v>47</v>
      </c>
      <c r="D485">
        <v>-13</v>
      </c>
      <c r="E485">
        <v>92</v>
      </c>
      <c r="F485">
        <v>64</v>
      </c>
      <c r="G485">
        <v>-26</v>
      </c>
      <c r="H485">
        <v>-19</v>
      </c>
      <c r="I485">
        <v>-13</v>
      </c>
      <c r="J485" t="s">
        <v>1033</v>
      </c>
    </row>
    <row r="486" spans="1:10">
      <c r="A486" t="s">
        <v>603</v>
      </c>
      <c r="B486">
        <v>3652</v>
      </c>
      <c r="C486">
        <v>47</v>
      </c>
      <c r="D486">
        <v>-13</v>
      </c>
      <c r="E486">
        <v>88</v>
      </c>
      <c r="F486">
        <v>60</v>
      </c>
      <c r="G486">
        <v>-38</v>
      </c>
      <c r="H486">
        <v>-31</v>
      </c>
      <c r="I486">
        <v>-25</v>
      </c>
      <c r="J486" t="s">
        <v>1033</v>
      </c>
    </row>
    <row r="487" spans="1:10">
      <c r="A487" t="s">
        <v>604</v>
      </c>
      <c r="B487">
        <v>3525</v>
      </c>
      <c r="C487">
        <v>47</v>
      </c>
      <c r="D487">
        <v>-11</v>
      </c>
      <c r="E487">
        <v>89</v>
      </c>
      <c r="F487">
        <v>61</v>
      </c>
      <c r="G487">
        <v>-11</v>
      </c>
      <c r="H487">
        <v>-4</v>
      </c>
      <c r="I487">
        <v>2</v>
      </c>
      <c r="J487" t="s">
        <v>1033</v>
      </c>
    </row>
    <row r="488" spans="1:10">
      <c r="A488" t="s">
        <v>605</v>
      </c>
      <c r="B488">
        <v>3200</v>
      </c>
      <c r="C488">
        <v>48</v>
      </c>
      <c r="D488">
        <v>-19</v>
      </c>
      <c r="E488">
        <v>90</v>
      </c>
      <c r="F488">
        <v>62</v>
      </c>
      <c r="G488">
        <v>-33</v>
      </c>
      <c r="H488">
        <v>-26</v>
      </c>
      <c r="I488">
        <v>-20</v>
      </c>
      <c r="J488" t="s">
        <v>1033</v>
      </c>
    </row>
    <row r="489" spans="1:10">
      <c r="A489" t="s">
        <v>606</v>
      </c>
      <c r="B489">
        <v>3828</v>
      </c>
      <c r="C489">
        <v>46</v>
      </c>
      <c r="D489">
        <v>-10</v>
      </c>
      <c r="E489">
        <v>87</v>
      </c>
      <c r="F489">
        <v>59</v>
      </c>
      <c r="G489">
        <v>-41</v>
      </c>
      <c r="H489">
        <v>-34</v>
      </c>
      <c r="I489">
        <v>-28</v>
      </c>
      <c r="J489" t="s">
        <v>1033</v>
      </c>
    </row>
    <row r="490" spans="1:10">
      <c r="A490" t="s">
        <v>607</v>
      </c>
      <c r="B490">
        <v>6780</v>
      </c>
      <c r="C490">
        <v>48</v>
      </c>
      <c r="D490">
        <v>-3</v>
      </c>
      <c r="E490">
        <v>86</v>
      </c>
      <c r="F490">
        <v>61</v>
      </c>
      <c r="G490">
        <v>-29</v>
      </c>
      <c r="H490">
        <v>-22</v>
      </c>
      <c r="I490">
        <v>-16</v>
      </c>
      <c r="J490" t="s">
        <v>1359</v>
      </c>
    </row>
    <row r="491" spans="1:10">
      <c r="A491" t="s">
        <v>608</v>
      </c>
      <c r="B491">
        <v>4122</v>
      </c>
      <c r="C491">
        <v>47</v>
      </c>
      <c r="D491">
        <v>-12</v>
      </c>
      <c r="E491">
        <v>86</v>
      </c>
      <c r="F491">
        <v>60</v>
      </c>
      <c r="G491">
        <v>-34</v>
      </c>
      <c r="H491">
        <v>-27</v>
      </c>
      <c r="I491">
        <v>-21</v>
      </c>
      <c r="J491" t="s">
        <v>1359</v>
      </c>
    </row>
    <row r="492" spans="1:10">
      <c r="A492" t="s">
        <v>609</v>
      </c>
      <c r="B492">
        <v>4656</v>
      </c>
      <c r="C492">
        <v>45</v>
      </c>
      <c r="D492">
        <v>-14</v>
      </c>
      <c r="E492">
        <v>87</v>
      </c>
      <c r="F492">
        <v>60</v>
      </c>
      <c r="G492">
        <v>-36</v>
      </c>
      <c r="H492">
        <v>-29</v>
      </c>
      <c r="I492">
        <v>-23</v>
      </c>
      <c r="J492" t="s">
        <v>1033</v>
      </c>
    </row>
    <row r="493" spans="1:10">
      <c r="A493" t="s">
        <v>610</v>
      </c>
      <c r="B493">
        <v>2634</v>
      </c>
      <c r="C493">
        <v>46</v>
      </c>
      <c r="D493">
        <v>-13</v>
      </c>
      <c r="E493">
        <v>93</v>
      </c>
      <c r="F493">
        <v>65</v>
      </c>
      <c r="G493">
        <v>-23</v>
      </c>
      <c r="H493">
        <v>-16</v>
      </c>
      <c r="I493">
        <v>-10</v>
      </c>
      <c r="J493" t="s">
        <v>1033</v>
      </c>
    </row>
    <row r="494" spans="1:10">
      <c r="A494" t="s">
        <v>611</v>
      </c>
      <c r="B494">
        <v>3190</v>
      </c>
      <c r="C494">
        <v>46</v>
      </c>
      <c r="D494">
        <v>-1</v>
      </c>
      <c r="E494">
        <v>88</v>
      </c>
      <c r="F494">
        <v>61</v>
      </c>
      <c r="G494">
        <v>-33</v>
      </c>
      <c r="H494">
        <v>-26</v>
      </c>
      <c r="I494">
        <v>-20</v>
      </c>
      <c r="J494" t="s">
        <v>1033</v>
      </c>
    </row>
    <row r="495" spans="1:10">
      <c r="A495" t="s">
        <v>612</v>
      </c>
      <c r="B495">
        <v>1323</v>
      </c>
      <c r="C495">
        <v>40</v>
      </c>
      <c r="D495">
        <v>-2</v>
      </c>
      <c r="E495">
        <v>95</v>
      </c>
      <c r="F495">
        <v>74</v>
      </c>
      <c r="G495">
        <v>28</v>
      </c>
      <c r="H495">
        <v>35</v>
      </c>
      <c r="I495">
        <v>41</v>
      </c>
      <c r="J495" t="s">
        <v>1359</v>
      </c>
    </row>
    <row r="496" spans="1:10">
      <c r="A496" t="s">
        <v>613</v>
      </c>
      <c r="B496">
        <v>1047</v>
      </c>
      <c r="C496">
        <v>41</v>
      </c>
      <c r="D496">
        <v>1</v>
      </c>
      <c r="E496">
        <v>91</v>
      </c>
      <c r="F496">
        <v>75</v>
      </c>
      <c r="G496">
        <v>36</v>
      </c>
      <c r="H496">
        <v>43</v>
      </c>
      <c r="I496">
        <v>49</v>
      </c>
      <c r="J496" t="s">
        <v>1359</v>
      </c>
    </row>
    <row r="497" spans="1:10">
      <c r="A497" t="s">
        <v>614</v>
      </c>
      <c r="B497">
        <v>3296</v>
      </c>
      <c r="C497">
        <v>42</v>
      </c>
      <c r="D497">
        <v>-3</v>
      </c>
      <c r="E497">
        <v>94</v>
      </c>
      <c r="F497">
        <v>65</v>
      </c>
      <c r="G497">
        <v>-22</v>
      </c>
      <c r="H497">
        <v>-15</v>
      </c>
      <c r="I497">
        <v>-9</v>
      </c>
      <c r="J497" t="s">
        <v>1033</v>
      </c>
    </row>
    <row r="498" spans="1:10">
      <c r="A498" t="s">
        <v>615</v>
      </c>
      <c r="B498">
        <v>1443</v>
      </c>
      <c r="C498">
        <v>41</v>
      </c>
      <c r="D498">
        <v>-2</v>
      </c>
      <c r="E498">
        <v>95</v>
      </c>
      <c r="F498">
        <v>73</v>
      </c>
      <c r="G498">
        <v>17</v>
      </c>
      <c r="H498">
        <v>24</v>
      </c>
      <c r="I498">
        <v>30</v>
      </c>
      <c r="J498" t="s">
        <v>1359</v>
      </c>
    </row>
    <row r="499" spans="1:10">
      <c r="A499" t="s">
        <v>616</v>
      </c>
      <c r="B499">
        <v>1203</v>
      </c>
      <c r="C499">
        <v>41</v>
      </c>
      <c r="D499">
        <v>-2</v>
      </c>
      <c r="E499">
        <v>95</v>
      </c>
      <c r="F499">
        <v>74</v>
      </c>
      <c r="G499">
        <v>23</v>
      </c>
      <c r="H499">
        <v>30</v>
      </c>
      <c r="I499">
        <v>36</v>
      </c>
      <c r="J499" t="s">
        <v>1359</v>
      </c>
    </row>
    <row r="500" spans="1:10">
      <c r="A500" t="s">
        <v>617</v>
      </c>
      <c r="B500">
        <v>1841</v>
      </c>
      <c r="C500">
        <v>41</v>
      </c>
      <c r="D500">
        <v>-2</v>
      </c>
      <c r="E500">
        <v>93</v>
      </c>
      <c r="F500">
        <v>72</v>
      </c>
      <c r="G500">
        <v>15</v>
      </c>
      <c r="H500">
        <v>22</v>
      </c>
      <c r="I500">
        <v>28</v>
      </c>
      <c r="J500" t="s">
        <v>1033</v>
      </c>
    </row>
    <row r="501" spans="1:10">
      <c r="A501" t="s">
        <v>618</v>
      </c>
      <c r="B501">
        <v>1954</v>
      </c>
      <c r="C501">
        <v>40</v>
      </c>
      <c r="D501">
        <v>-3</v>
      </c>
      <c r="E501">
        <v>94</v>
      </c>
      <c r="F501">
        <v>71</v>
      </c>
      <c r="G501">
        <v>7</v>
      </c>
      <c r="H501">
        <v>14</v>
      </c>
      <c r="I501">
        <v>20</v>
      </c>
      <c r="J501" t="s">
        <v>1033</v>
      </c>
    </row>
    <row r="502" spans="1:10">
      <c r="A502" t="s">
        <v>619</v>
      </c>
      <c r="B502">
        <v>2131</v>
      </c>
      <c r="C502">
        <v>40</v>
      </c>
      <c r="D502">
        <v>-4</v>
      </c>
      <c r="E502">
        <v>93</v>
      </c>
      <c r="F502">
        <v>70</v>
      </c>
      <c r="G502">
        <v>3</v>
      </c>
      <c r="H502">
        <v>10</v>
      </c>
      <c r="I502">
        <v>16</v>
      </c>
      <c r="J502" t="s">
        <v>1033</v>
      </c>
    </row>
    <row r="503" spans="1:10">
      <c r="A503" t="s">
        <v>620</v>
      </c>
      <c r="B503">
        <v>1180</v>
      </c>
      <c r="C503">
        <v>40</v>
      </c>
      <c r="D503">
        <v>-2</v>
      </c>
      <c r="E503">
        <v>94</v>
      </c>
      <c r="F503">
        <v>74</v>
      </c>
      <c r="G503">
        <v>25</v>
      </c>
      <c r="H503">
        <v>32</v>
      </c>
      <c r="I503">
        <v>38</v>
      </c>
      <c r="J503" t="s">
        <v>1359</v>
      </c>
    </row>
    <row r="504" spans="1:10">
      <c r="A504" t="s">
        <v>621</v>
      </c>
      <c r="B504">
        <v>2579</v>
      </c>
      <c r="C504">
        <v>40</v>
      </c>
      <c r="D504">
        <v>-2</v>
      </c>
      <c r="E504">
        <v>95</v>
      </c>
      <c r="F504">
        <v>69</v>
      </c>
      <c r="G504">
        <v>-11</v>
      </c>
      <c r="H504">
        <v>-4</v>
      </c>
      <c r="I504">
        <v>2</v>
      </c>
      <c r="J504" t="s">
        <v>1033</v>
      </c>
    </row>
    <row r="505" spans="1:10">
      <c r="A505" t="s">
        <v>622</v>
      </c>
      <c r="B505">
        <v>1552</v>
      </c>
      <c r="C505">
        <v>42</v>
      </c>
      <c r="D505">
        <v>-5</v>
      </c>
      <c r="E505">
        <v>92</v>
      </c>
      <c r="F505">
        <v>72</v>
      </c>
      <c r="G505">
        <v>16</v>
      </c>
      <c r="H505">
        <v>23</v>
      </c>
      <c r="I505">
        <v>29</v>
      </c>
      <c r="J505" t="s">
        <v>1033</v>
      </c>
    </row>
    <row r="506" spans="1:10">
      <c r="A506" t="s">
        <v>623</v>
      </c>
      <c r="B506">
        <v>2775</v>
      </c>
      <c r="C506">
        <v>41</v>
      </c>
      <c r="D506">
        <v>-4</v>
      </c>
      <c r="E506">
        <v>92</v>
      </c>
      <c r="F506">
        <v>69</v>
      </c>
      <c r="G506">
        <v>-1</v>
      </c>
      <c r="H506">
        <v>6</v>
      </c>
      <c r="I506">
        <v>12</v>
      </c>
      <c r="J506" t="s">
        <v>1033</v>
      </c>
    </row>
    <row r="507" spans="1:10">
      <c r="A507" t="s">
        <v>624</v>
      </c>
      <c r="B507">
        <v>977</v>
      </c>
      <c r="C507">
        <v>41</v>
      </c>
      <c r="D507">
        <v>-2</v>
      </c>
      <c r="E507">
        <v>92</v>
      </c>
      <c r="F507">
        <v>75</v>
      </c>
      <c r="G507">
        <v>34</v>
      </c>
      <c r="H507">
        <v>41</v>
      </c>
      <c r="I507">
        <v>47</v>
      </c>
      <c r="J507" t="s">
        <v>1359</v>
      </c>
    </row>
    <row r="508" spans="1:10">
      <c r="A508" t="s">
        <v>625</v>
      </c>
      <c r="B508">
        <v>1332</v>
      </c>
      <c r="C508">
        <v>41</v>
      </c>
      <c r="D508">
        <v>-2</v>
      </c>
      <c r="E508">
        <v>90</v>
      </c>
      <c r="F508">
        <v>75</v>
      </c>
      <c r="G508">
        <v>38</v>
      </c>
      <c r="H508">
        <v>45</v>
      </c>
      <c r="I508">
        <v>51</v>
      </c>
      <c r="J508" t="s">
        <v>1359</v>
      </c>
    </row>
    <row r="509" spans="1:10">
      <c r="A509" t="s">
        <v>626</v>
      </c>
      <c r="B509">
        <v>3958</v>
      </c>
      <c r="C509">
        <v>41</v>
      </c>
      <c r="D509">
        <v>-3</v>
      </c>
      <c r="E509">
        <v>92</v>
      </c>
      <c r="F509">
        <v>64</v>
      </c>
      <c r="G509">
        <v>-25</v>
      </c>
      <c r="H509">
        <v>-18</v>
      </c>
      <c r="I509">
        <v>-12</v>
      </c>
      <c r="J509" t="s">
        <v>1033</v>
      </c>
    </row>
    <row r="510" spans="1:10">
      <c r="A510" t="s">
        <v>627</v>
      </c>
      <c r="B510">
        <v>4304</v>
      </c>
      <c r="C510">
        <v>41</v>
      </c>
      <c r="D510">
        <v>-1</v>
      </c>
      <c r="E510">
        <v>92</v>
      </c>
      <c r="F510">
        <v>63</v>
      </c>
      <c r="G510">
        <v>-29</v>
      </c>
      <c r="H510">
        <v>-22</v>
      </c>
      <c r="I510">
        <v>-16</v>
      </c>
      <c r="J510" t="s">
        <v>1033</v>
      </c>
    </row>
    <row r="511" spans="1:10">
      <c r="A511" t="s">
        <v>628</v>
      </c>
      <c r="B511">
        <v>2598</v>
      </c>
      <c r="C511">
        <v>42</v>
      </c>
      <c r="D511">
        <v>-8</v>
      </c>
      <c r="E511">
        <v>94</v>
      </c>
      <c r="F511">
        <v>67</v>
      </c>
      <c r="G511">
        <v>-15</v>
      </c>
      <c r="H511">
        <v>-8</v>
      </c>
      <c r="I511">
        <v>-2</v>
      </c>
      <c r="J511" t="s">
        <v>1033</v>
      </c>
    </row>
    <row r="512" spans="1:10">
      <c r="A512" t="s">
        <v>629</v>
      </c>
      <c r="B512">
        <v>4675</v>
      </c>
      <c r="C512">
        <v>39</v>
      </c>
      <c r="D512">
        <v>9</v>
      </c>
      <c r="E512">
        <v>91</v>
      </c>
      <c r="F512">
        <v>59</v>
      </c>
      <c r="G512">
        <v>-47</v>
      </c>
      <c r="H512">
        <v>-40</v>
      </c>
      <c r="I512">
        <v>-34</v>
      </c>
      <c r="J512" t="s">
        <v>1033</v>
      </c>
    </row>
    <row r="513" spans="1:10">
      <c r="A513" t="s">
        <v>630</v>
      </c>
      <c r="B513">
        <v>5050</v>
      </c>
      <c r="C513">
        <v>40</v>
      </c>
      <c r="D513">
        <v>1</v>
      </c>
      <c r="E513">
        <v>92</v>
      </c>
      <c r="F513">
        <v>59</v>
      </c>
      <c r="G513">
        <v>-48</v>
      </c>
      <c r="H513">
        <v>-41</v>
      </c>
      <c r="I513">
        <v>-35</v>
      </c>
      <c r="J513" t="s">
        <v>1033</v>
      </c>
    </row>
    <row r="514" spans="1:10">
      <c r="A514" t="s">
        <v>631</v>
      </c>
      <c r="B514">
        <v>6263</v>
      </c>
      <c r="C514">
        <v>39</v>
      </c>
      <c r="D514">
        <v>0</v>
      </c>
      <c r="E514">
        <v>87</v>
      </c>
      <c r="F514">
        <v>56</v>
      </c>
      <c r="G514">
        <v>-55</v>
      </c>
      <c r="H514">
        <v>-48</v>
      </c>
      <c r="I514">
        <v>-42</v>
      </c>
      <c r="J514" t="s">
        <v>1033</v>
      </c>
    </row>
    <row r="515" spans="1:10">
      <c r="A515" t="s">
        <v>632</v>
      </c>
      <c r="B515">
        <v>2162</v>
      </c>
      <c r="C515">
        <v>36</v>
      </c>
      <c r="D515">
        <v>30</v>
      </c>
      <c r="E515">
        <v>106</v>
      </c>
      <c r="F515">
        <v>66</v>
      </c>
      <c r="G515">
        <v>-39</v>
      </c>
      <c r="H515">
        <v>-32</v>
      </c>
      <c r="I515">
        <v>-26</v>
      </c>
      <c r="J515" t="s">
        <v>1033</v>
      </c>
    </row>
    <row r="516" spans="1:10">
      <c r="A516" t="s">
        <v>633</v>
      </c>
      <c r="B516">
        <v>3904</v>
      </c>
      <c r="C516">
        <v>40</v>
      </c>
      <c r="D516">
        <v>12</v>
      </c>
      <c r="E516">
        <v>96</v>
      </c>
      <c r="F516">
        <v>63</v>
      </c>
      <c r="G516">
        <v>-35</v>
      </c>
      <c r="H516">
        <v>-28</v>
      </c>
      <c r="I516">
        <v>-22</v>
      </c>
      <c r="J516" t="s">
        <v>1033</v>
      </c>
    </row>
    <row r="517" spans="1:10">
      <c r="A517" t="s">
        <v>634</v>
      </c>
      <c r="B517">
        <v>3310</v>
      </c>
      <c r="C517">
        <v>36</v>
      </c>
      <c r="D517">
        <v>28</v>
      </c>
      <c r="E517">
        <v>100</v>
      </c>
      <c r="F517">
        <v>64</v>
      </c>
      <c r="G517">
        <v>-38</v>
      </c>
      <c r="H517">
        <v>-31</v>
      </c>
      <c r="I517">
        <v>-25</v>
      </c>
      <c r="J517" t="s">
        <v>1033</v>
      </c>
    </row>
    <row r="518" spans="1:10">
      <c r="A518" t="s">
        <v>635</v>
      </c>
      <c r="B518">
        <v>1868</v>
      </c>
      <c r="C518">
        <v>36</v>
      </c>
      <c r="D518">
        <v>31</v>
      </c>
      <c r="E518">
        <v>106</v>
      </c>
      <c r="F518">
        <v>67</v>
      </c>
      <c r="G518">
        <v>-34</v>
      </c>
      <c r="H518">
        <v>-27</v>
      </c>
      <c r="I518">
        <v>-21</v>
      </c>
      <c r="J518" t="s">
        <v>1033</v>
      </c>
    </row>
    <row r="519" spans="1:10">
      <c r="A519" t="s">
        <v>636</v>
      </c>
      <c r="B519">
        <v>4412</v>
      </c>
      <c r="C519">
        <v>39</v>
      </c>
      <c r="D519">
        <v>13</v>
      </c>
      <c r="E519">
        <v>92</v>
      </c>
      <c r="F519">
        <v>60</v>
      </c>
      <c r="G519">
        <v>-44</v>
      </c>
      <c r="H519">
        <v>-37</v>
      </c>
      <c r="I519">
        <v>-31</v>
      </c>
      <c r="J519" t="s">
        <v>1033</v>
      </c>
    </row>
    <row r="520" spans="1:10">
      <c r="A520" t="s">
        <v>637</v>
      </c>
      <c r="B520">
        <v>5046</v>
      </c>
      <c r="C520">
        <v>39</v>
      </c>
      <c r="D520">
        <v>11</v>
      </c>
      <c r="E520">
        <v>93</v>
      </c>
      <c r="F520">
        <v>60</v>
      </c>
      <c r="G520">
        <v>-45</v>
      </c>
      <c r="H520">
        <v>-38</v>
      </c>
      <c r="I520">
        <v>-32</v>
      </c>
      <c r="J520" t="s">
        <v>1033</v>
      </c>
    </row>
    <row r="521" spans="1:10">
      <c r="A521" t="s">
        <v>638</v>
      </c>
      <c r="B521">
        <v>5426</v>
      </c>
      <c r="C521">
        <v>38</v>
      </c>
      <c r="D521">
        <v>13</v>
      </c>
      <c r="E521">
        <v>92</v>
      </c>
      <c r="F521">
        <v>57</v>
      </c>
      <c r="G521">
        <v>-58</v>
      </c>
      <c r="H521">
        <v>-51</v>
      </c>
      <c r="I521">
        <v>-45</v>
      </c>
      <c r="J521" t="s">
        <v>1033</v>
      </c>
    </row>
    <row r="522" spans="1:10">
      <c r="A522" t="s">
        <v>639</v>
      </c>
      <c r="B522">
        <v>4301</v>
      </c>
      <c r="C522">
        <v>40</v>
      </c>
      <c r="D522">
        <v>7</v>
      </c>
      <c r="E522">
        <v>94</v>
      </c>
      <c r="F522">
        <v>60</v>
      </c>
      <c r="G522">
        <v>-48</v>
      </c>
      <c r="H522">
        <v>-41</v>
      </c>
      <c r="I522">
        <v>-35</v>
      </c>
      <c r="J522" t="s">
        <v>1033</v>
      </c>
    </row>
    <row r="523" spans="1:10">
      <c r="A523" t="s">
        <v>640</v>
      </c>
      <c r="B523">
        <v>1161</v>
      </c>
      <c r="C523">
        <v>44</v>
      </c>
      <c r="D523">
        <v>-9</v>
      </c>
      <c r="E523">
        <v>84</v>
      </c>
      <c r="F523">
        <v>69</v>
      </c>
      <c r="G523">
        <v>12</v>
      </c>
      <c r="H523">
        <v>19</v>
      </c>
      <c r="I523">
        <v>25</v>
      </c>
      <c r="J523" t="s">
        <v>1359</v>
      </c>
    </row>
    <row r="524" spans="1:10">
      <c r="A524" t="s">
        <v>641</v>
      </c>
      <c r="B524">
        <v>545</v>
      </c>
      <c r="C524">
        <v>43</v>
      </c>
      <c r="D524">
        <v>-4</v>
      </c>
      <c r="E524">
        <v>86</v>
      </c>
      <c r="F524">
        <v>70</v>
      </c>
      <c r="G524">
        <v>14</v>
      </c>
      <c r="H524">
        <v>21</v>
      </c>
      <c r="I524">
        <v>27</v>
      </c>
      <c r="J524" t="s">
        <v>1359</v>
      </c>
    </row>
    <row r="525" spans="1:10">
      <c r="A525" t="s">
        <v>642</v>
      </c>
      <c r="B525">
        <v>342</v>
      </c>
      <c r="C525">
        <v>43</v>
      </c>
      <c r="D525">
        <v>-2</v>
      </c>
      <c r="E525">
        <v>87</v>
      </c>
      <c r="F525">
        <v>70</v>
      </c>
      <c r="G525">
        <v>13</v>
      </c>
      <c r="H525">
        <v>20</v>
      </c>
      <c r="I525">
        <v>26</v>
      </c>
      <c r="J525" t="s">
        <v>1033</v>
      </c>
    </row>
    <row r="526" spans="1:10">
      <c r="A526" t="s">
        <v>643</v>
      </c>
      <c r="B526">
        <v>488</v>
      </c>
      <c r="C526">
        <v>43</v>
      </c>
      <c r="D526">
        <v>-7</v>
      </c>
      <c r="E526">
        <v>87</v>
      </c>
      <c r="F526">
        <v>70</v>
      </c>
      <c r="G526">
        <v>13</v>
      </c>
      <c r="H526">
        <v>20</v>
      </c>
      <c r="I526">
        <v>26</v>
      </c>
      <c r="J526" t="s">
        <v>1359</v>
      </c>
    </row>
    <row r="527" spans="1:10">
      <c r="A527" t="s">
        <v>644</v>
      </c>
      <c r="B527">
        <v>545</v>
      </c>
      <c r="C527">
        <v>43</v>
      </c>
      <c r="D527">
        <v>-5</v>
      </c>
      <c r="E527">
        <v>86</v>
      </c>
      <c r="F527">
        <v>70</v>
      </c>
      <c r="G527">
        <v>14</v>
      </c>
      <c r="H527">
        <v>21</v>
      </c>
      <c r="I527">
        <v>27</v>
      </c>
      <c r="J527" t="s">
        <v>1359</v>
      </c>
    </row>
    <row r="528" spans="1:10">
      <c r="A528" t="s">
        <v>645</v>
      </c>
      <c r="B528">
        <v>597</v>
      </c>
      <c r="C528">
        <v>43</v>
      </c>
      <c r="D528">
        <v>-3</v>
      </c>
      <c r="E528">
        <v>86</v>
      </c>
      <c r="F528">
        <v>69</v>
      </c>
      <c r="G528">
        <v>9</v>
      </c>
      <c r="H528">
        <v>16</v>
      </c>
      <c r="I528">
        <v>22</v>
      </c>
      <c r="J528" t="s">
        <v>1359</v>
      </c>
    </row>
    <row r="529" spans="1:10">
      <c r="A529" t="s">
        <v>646</v>
      </c>
      <c r="B529">
        <v>234</v>
      </c>
      <c r="C529">
        <v>43</v>
      </c>
      <c r="D529">
        <v>-3</v>
      </c>
      <c r="E529">
        <v>88</v>
      </c>
      <c r="F529">
        <v>71</v>
      </c>
      <c r="G529">
        <v>17</v>
      </c>
      <c r="H529">
        <v>24</v>
      </c>
      <c r="I529">
        <v>30</v>
      </c>
      <c r="J529" t="s">
        <v>1359</v>
      </c>
    </row>
    <row r="530" spans="1:10">
      <c r="A530" t="s">
        <v>647</v>
      </c>
      <c r="B530">
        <v>6266</v>
      </c>
      <c r="C530">
        <v>44</v>
      </c>
      <c r="D530">
        <v>-19</v>
      </c>
      <c r="E530">
        <v>58</v>
      </c>
      <c r="F530">
        <v>54</v>
      </c>
      <c r="G530">
        <v>-18</v>
      </c>
      <c r="H530">
        <v>-11</v>
      </c>
      <c r="I530">
        <v>-5</v>
      </c>
      <c r="J530" t="s">
        <v>1032</v>
      </c>
    </row>
    <row r="531" spans="1:10">
      <c r="A531" t="s">
        <v>648</v>
      </c>
      <c r="B531">
        <v>101</v>
      </c>
      <c r="C531">
        <v>43</v>
      </c>
      <c r="D531">
        <v>9</v>
      </c>
      <c r="E531">
        <v>85</v>
      </c>
      <c r="F531">
        <v>70</v>
      </c>
      <c r="G531">
        <v>16</v>
      </c>
      <c r="H531">
        <v>23</v>
      </c>
      <c r="I531">
        <v>29</v>
      </c>
      <c r="J531" t="s">
        <v>1359</v>
      </c>
    </row>
    <row r="532" spans="1:10">
      <c r="A532" t="s">
        <v>649</v>
      </c>
      <c r="B532">
        <v>64</v>
      </c>
      <c r="C532">
        <v>39</v>
      </c>
      <c r="D532">
        <v>13</v>
      </c>
      <c r="E532">
        <v>88</v>
      </c>
      <c r="F532">
        <v>73</v>
      </c>
      <c r="G532">
        <v>29</v>
      </c>
      <c r="H532">
        <v>36</v>
      </c>
      <c r="I532">
        <v>42</v>
      </c>
      <c r="J532" t="s">
        <v>1359</v>
      </c>
    </row>
    <row r="533" spans="1:10">
      <c r="A533" t="s">
        <v>650</v>
      </c>
      <c r="B533">
        <v>36</v>
      </c>
      <c r="C533">
        <v>40</v>
      </c>
      <c r="D533">
        <v>13</v>
      </c>
      <c r="E533">
        <v>90</v>
      </c>
      <c r="F533">
        <v>73</v>
      </c>
      <c r="G533">
        <v>24</v>
      </c>
      <c r="H533">
        <v>30</v>
      </c>
      <c r="I533">
        <v>37</v>
      </c>
      <c r="J533" t="s">
        <v>1359</v>
      </c>
    </row>
    <row r="534" spans="1:10">
      <c r="A534" t="s">
        <v>651</v>
      </c>
      <c r="B534">
        <v>82</v>
      </c>
      <c r="C534">
        <v>39</v>
      </c>
      <c r="D534">
        <v>15</v>
      </c>
      <c r="E534">
        <v>89</v>
      </c>
      <c r="F534">
        <v>74</v>
      </c>
      <c r="G534">
        <v>33</v>
      </c>
      <c r="H534">
        <v>40</v>
      </c>
      <c r="I534">
        <v>46</v>
      </c>
      <c r="J534" t="s">
        <v>1359</v>
      </c>
    </row>
    <row r="535" spans="1:10">
      <c r="A535" t="s">
        <v>652</v>
      </c>
      <c r="B535">
        <v>7</v>
      </c>
      <c r="C535">
        <v>40</v>
      </c>
      <c r="D535">
        <v>14</v>
      </c>
      <c r="E535">
        <v>90</v>
      </c>
      <c r="F535">
        <v>73</v>
      </c>
      <c r="G535">
        <v>25</v>
      </c>
      <c r="H535">
        <v>32</v>
      </c>
      <c r="I535">
        <v>38</v>
      </c>
      <c r="J535" t="s">
        <v>1359</v>
      </c>
    </row>
    <row r="536" spans="1:10">
      <c r="A536" t="s">
        <v>653</v>
      </c>
      <c r="B536">
        <v>100</v>
      </c>
      <c r="C536">
        <v>40</v>
      </c>
      <c r="D536">
        <v>10</v>
      </c>
      <c r="E536">
        <v>89</v>
      </c>
      <c r="F536">
        <v>73</v>
      </c>
      <c r="G536">
        <v>25</v>
      </c>
      <c r="H536">
        <v>32</v>
      </c>
      <c r="I536">
        <v>38</v>
      </c>
      <c r="J536" t="s">
        <v>1359</v>
      </c>
    </row>
    <row r="537" spans="1:10">
      <c r="A537" t="s">
        <v>654</v>
      </c>
      <c r="B537">
        <v>186</v>
      </c>
      <c r="C537">
        <v>40</v>
      </c>
      <c r="D537">
        <v>10</v>
      </c>
      <c r="E537">
        <v>91</v>
      </c>
      <c r="F537">
        <v>73</v>
      </c>
      <c r="G537">
        <v>22</v>
      </c>
      <c r="H537">
        <v>29</v>
      </c>
      <c r="I537">
        <v>35</v>
      </c>
      <c r="J537" t="s">
        <v>1359</v>
      </c>
    </row>
    <row r="538" spans="1:10">
      <c r="A538" t="s">
        <v>655</v>
      </c>
      <c r="B538">
        <v>314</v>
      </c>
      <c r="C538">
        <v>40</v>
      </c>
      <c r="D538">
        <v>6</v>
      </c>
      <c r="E538">
        <v>89</v>
      </c>
      <c r="F538">
        <v>72</v>
      </c>
      <c r="G538">
        <v>20</v>
      </c>
      <c r="H538">
        <v>27</v>
      </c>
      <c r="I538">
        <v>33</v>
      </c>
      <c r="J538" t="s">
        <v>1359</v>
      </c>
    </row>
    <row r="539" spans="1:10">
      <c r="A539" t="s">
        <v>656</v>
      </c>
      <c r="B539">
        <v>9</v>
      </c>
      <c r="C539">
        <v>40</v>
      </c>
      <c r="D539">
        <v>14</v>
      </c>
      <c r="E539">
        <v>89</v>
      </c>
      <c r="F539">
        <v>74</v>
      </c>
      <c r="G539">
        <v>33</v>
      </c>
      <c r="H539">
        <v>40</v>
      </c>
      <c r="I539">
        <v>46</v>
      </c>
      <c r="J539" t="s">
        <v>1359</v>
      </c>
    </row>
    <row r="540" spans="1:10">
      <c r="A540" t="s">
        <v>657</v>
      </c>
      <c r="B540">
        <v>133</v>
      </c>
      <c r="C540">
        <v>40</v>
      </c>
      <c r="D540">
        <v>15</v>
      </c>
      <c r="E540">
        <v>90</v>
      </c>
      <c r="F540">
        <v>74</v>
      </c>
      <c r="G540">
        <v>31</v>
      </c>
      <c r="H540">
        <v>38</v>
      </c>
      <c r="I540">
        <v>44</v>
      </c>
      <c r="J540" t="s">
        <v>1359</v>
      </c>
    </row>
    <row r="541" spans="1:10">
      <c r="A541" t="s">
        <v>658</v>
      </c>
      <c r="B541">
        <v>88</v>
      </c>
      <c r="C541">
        <v>39</v>
      </c>
      <c r="D541">
        <v>11</v>
      </c>
      <c r="E541">
        <v>89</v>
      </c>
      <c r="F541">
        <v>74</v>
      </c>
      <c r="G541">
        <v>33</v>
      </c>
      <c r="H541">
        <v>40</v>
      </c>
      <c r="I541">
        <v>46</v>
      </c>
      <c r="J541" t="s">
        <v>1359</v>
      </c>
    </row>
    <row r="542" spans="1:10">
      <c r="A542" t="s">
        <v>659</v>
      </c>
      <c r="B542">
        <v>4093</v>
      </c>
      <c r="C542">
        <v>32</v>
      </c>
      <c r="D542">
        <v>23</v>
      </c>
      <c r="E542">
        <v>96</v>
      </c>
      <c r="F542">
        <v>63</v>
      </c>
      <c r="G542">
        <v>-36</v>
      </c>
      <c r="H542">
        <v>-29</v>
      </c>
      <c r="I542">
        <v>-23</v>
      </c>
      <c r="J542" t="s">
        <v>1033</v>
      </c>
    </row>
    <row r="543" spans="1:10">
      <c r="A543" t="s">
        <v>660</v>
      </c>
      <c r="B543">
        <v>5311</v>
      </c>
      <c r="C543">
        <v>35</v>
      </c>
      <c r="D543">
        <v>18</v>
      </c>
      <c r="E543">
        <v>93</v>
      </c>
      <c r="F543">
        <v>60</v>
      </c>
      <c r="G543">
        <v>-46</v>
      </c>
      <c r="H543">
        <v>-39</v>
      </c>
      <c r="I543">
        <v>-33</v>
      </c>
      <c r="J543" t="s">
        <v>1033</v>
      </c>
    </row>
    <row r="544" spans="1:10">
      <c r="A544" t="s">
        <v>661</v>
      </c>
      <c r="B544">
        <v>3548</v>
      </c>
      <c r="C544">
        <v>32</v>
      </c>
      <c r="D544">
        <v>19</v>
      </c>
      <c r="E544">
        <v>100</v>
      </c>
      <c r="F544">
        <v>67</v>
      </c>
      <c r="G544">
        <v>-21</v>
      </c>
      <c r="H544">
        <v>-14</v>
      </c>
      <c r="I544">
        <v>-8</v>
      </c>
      <c r="J544" t="s">
        <v>1033</v>
      </c>
    </row>
    <row r="545" spans="1:10">
      <c r="A545" t="s">
        <v>662</v>
      </c>
      <c r="B545">
        <v>3293</v>
      </c>
      <c r="C545">
        <v>32</v>
      </c>
      <c r="D545">
        <v>23</v>
      </c>
      <c r="E545">
        <v>98</v>
      </c>
      <c r="F545">
        <v>66</v>
      </c>
      <c r="G545">
        <v>-23</v>
      </c>
      <c r="H545">
        <v>-16</v>
      </c>
      <c r="I545">
        <v>-10</v>
      </c>
      <c r="J545" t="s">
        <v>1033</v>
      </c>
    </row>
    <row r="546" spans="1:10">
      <c r="A546" t="s">
        <v>663</v>
      </c>
      <c r="B546">
        <v>4970</v>
      </c>
      <c r="C546">
        <v>36</v>
      </c>
      <c r="D546">
        <v>9</v>
      </c>
      <c r="E546">
        <v>91</v>
      </c>
      <c r="F546">
        <v>62</v>
      </c>
      <c r="G546">
        <v>-33</v>
      </c>
      <c r="H546">
        <v>-26</v>
      </c>
      <c r="I546">
        <v>-20</v>
      </c>
      <c r="J546" t="s">
        <v>1033</v>
      </c>
    </row>
    <row r="547" spans="1:10">
      <c r="A547" t="s">
        <v>664</v>
      </c>
      <c r="B547">
        <v>4295</v>
      </c>
      <c r="C547">
        <v>34</v>
      </c>
      <c r="D547">
        <v>15</v>
      </c>
      <c r="E547">
        <v>93</v>
      </c>
      <c r="F547">
        <v>64</v>
      </c>
      <c r="G547">
        <v>-26</v>
      </c>
      <c r="H547">
        <v>-19</v>
      </c>
      <c r="I547">
        <v>-13</v>
      </c>
      <c r="J547" t="s">
        <v>1033</v>
      </c>
    </row>
    <row r="548" spans="1:10">
      <c r="A548" t="s">
        <v>665</v>
      </c>
      <c r="B548">
        <v>5503</v>
      </c>
      <c r="C548">
        <v>36</v>
      </c>
      <c r="D548">
        <v>13</v>
      </c>
      <c r="E548">
        <v>92</v>
      </c>
      <c r="F548">
        <v>60</v>
      </c>
      <c r="G548">
        <v>-57</v>
      </c>
      <c r="H548">
        <v>-50</v>
      </c>
      <c r="I548">
        <v>-44</v>
      </c>
      <c r="J548" t="s">
        <v>1033</v>
      </c>
    </row>
    <row r="549" spans="1:10">
      <c r="A549" t="s">
        <v>666</v>
      </c>
      <c r="B549">
        <v>6470</v>
      </c>
      <c r="C549">
        <v>35</v>
      </c>
      <c r="D549">
        <v>5</v>
      </c>
      <c r="E549">
        <v>87</v>
      </c>
      <c r="F549">
        <v>56</v>
      </c>
      <c r="G549">
        <v>-55</v>
      </c>
      <c r="H549">
        <v>-48</v>
      </c>
      <c r="I549">
        <v>-42</v>
      </c>
      <c r="J549" t="s">
        <v>1033</v>
      </c>
    </row>
    <row r="550" spans="1:10">
      <c r="A550" t="s">
        <v>667</v>
      </c>
      <c r="B550">
        <v>6521</v>
      </c>
      <c r="C550">
        <v>35</v>
      </c>
      <c r="D550">
        <v>4</v>
      </c>
      <c r="E550">
        <v>88</v>
      </c>
      <c r="F550">
        <v>58</v>
      </c>
      <c r="G550">
        <v>-47</v>
      </c>
      <c r="H550">
        <v>-40</v>
      </c>
      <c r="I550">
        <v>-34</v>
      </c>
      <c r="J550" t="s">
        <v>1033</v>
      </c>
    </row>
    <row r="551" spans="1:10">
      <c r="A551" t="s">
        <v>668</v>
      </c>
      <c r="B551">
        <v>3659</v>
      </c>
      <c r="C551">
        <v>32</v>
      </c>
      <c r="D551">
        <v>18</v>
      </c>
      <c r="E551">
        <v>99</v>
      </c>
      <c r="F551">
        <v>66</v>
      </c>
      <c r="G551">
        <v>-25</v>
      </c>
      <c r="H551">
        <v>-18</v>
      </c>
      <c r="I551">
        <v>-12</v>
      </c>
      <c r="J551" t="s">
        <v>1033</v>
      </c>
    </row>
    <row r="552" spans="1:10">
      <c r="A552" t="s">
        <v>669</v>
      </c>
      <c r="B552">
        <v>4544</v>
      </c>
      <c r="C552">
        <v>32</v>
      </c>
      <c r="D552">
        <v>20</v>
      </c>
      <c r="E552">
        <v>96</v>
      </c>
      <c r="F552">
        <v>64</v>
      </c>
      <c r="G552">
        <v>-30</v>
      </c>
      <c r="H552">
        <v>-23</v>
      </c>
      <c r="I552">
        <v>-17</v>
      </c>
      <c r="J552" t="s">
        <v>1033</v>
      </c>
    </row>
    <row r="553" spans="1:10">
      <c r="A553" t="s">
        <v>670</v>
      </c>
      <c r="B553">
        <v>6089</v>
      </c>
      <c r="C553">
        <v>35</v>
      </c>
      <c r="D553">
        <v>9</v>
      </c>
      <c r="E553">
        <v>87</v>
      </c>
      <c r="F553">
        <v>60</v>
      </c>
      <c r="G553">
        <v>-36</v>
      </c>
      <c r="H553">
        <v>-27</v>
      </c>
      <c r="I553">
        <v>-19</v>
      </c>
      <c r="J553" t="s">
        <v>1033</v>
      </c>
    </row>
    <row r="554" spans="1:10">
      <c r="A554" t="s">
        <v>671</v>
      </c>
      <c r="B554">
        <v>6349</v>
      </c>
      <c r="C554">
        <v>36</v>
      </c>
      <c r="D554">
        <v>1</v>
      </c>
      <c r="E554">
        <v>89</v>
      </c>
      <c r="F554">
        <v>60</v>
      </c>
      <c r="G554">
        <v>-38</v>
      </c>
      <c r="H554">
        <v>-31</v>
      </c>
      <c r="I554">
        <v>-25</v>
      </c>
      <c r="J554" t="s">
        <v>1033</v>
      </c>
    </row>
    <row r="555" spans="1:10">
      <c r="A555" t="s">
        <v>672</v>
      </c>
      <c r="B555">
        <v>3676</v>
      </c>
      <c r="C555">
        <v>33</v>
      </c>
      <c r="D555">
        <v>20</v>
      </c>
      <c r="E555">
        <v>96</v>
      </c>
      <c r="F555">
        <v>65</v>
      </c>
      <c r="G555">
        <v>-26</v>
      </c>
      <c r="H555">
        <v>-19</v>
      </c>
      <c r="I555">
        <v>-13</v>
      </c>
      <c r="J555" t="s">
        <v>1033</v>
      </c>
    </row>
    <row r="556" spans="1:10">
      <c r="A556" t="s">
        <v>673</v>
      </c>
      <c r="B556">
        <v>6345</v>
      </c>
      <c r="C556">
        <v>35</v>
      </c>
      <c r="D556">
        <v>10</v>
      </c>
      <c r="E556">
        <v>88</v>
      </c>
      <c r="F556">
        <v>61</v>
      </c>
      <c r="G556">
        <v>-32</v>
      </c>
      <c r="H556">
        <v>-25</v>
      </c>
      <c r="I556">
        <v>-19</v>
      </c>
      <c r="J556" t="s">
        <v>1033</v>
      </c>
    </row>
    <row r="557" spans="1:10">
      <c r="A557" t="s">
        <v>674</v>
      </c>
      <c r="B557">
        <v>6126</v>
      </c>
      <c r="C557">
        <v>32</v>
      </c>
      <c r="D557">
        <v>10</v>
      </c>
      <c r="E557">
        <v>94</v>
      </c>
      <c r="F557">
        <v>60</v>
      </c>
      <c r="G557">
        <v>-47</v>
      </c>
      <c r="H557">
        <v>-40</v>
      </c>
      <c r="I557">
        <v>-34</v>
      </c>
      <c r="J557" t="s">
        <v>1033</v>
      </c>
    </row>
    <row r="558" spans="1:10">
      <c r="A558" t="s">
        <v>675</v>
      </c>
      <c r="B558">
        <v>4850</v>
      </c>
      <c r="C558">
        <v>34</v>
      </c>
      <c r="D558">
        <v>17</v>
      </c>
      <c r="E558">
        <v>95</v>
      </c>
      <c r="F558">
        <v>62</v>
      </c>
      <c r="G558">
        <v>-38</v>
      </c>
      <c r="H558">
        <v>-31</v>
      </c>
      <c r="I558">
        <v>-25</v>
      </c>
      <c r="J558" t="s">
        <v>1033</v>
      </c>
    </row>
    <row r="559" spans="1:10">
      <c r="A559" t="s">
        <v>676</v>
      </c>
      <c r="B559">
        <v>4858</v>
      </c>
      <c r="C559">
        <v>33</v>
      </c>
      <c r="D559">
        <v>26</v>
      </c>
      <c r="E559">
        <v>95</v>
      </c>
      <c r="F559">
        <v>61</v>
      </c>
      <c r="G559">
        <v>-43</v>
      </c>
      <c r="H559">
        <v>-36</v>
      </c>
      <c r="I559">
        <v>-30</v>
      </c>
      <c r="J559" t="s">
        <v>1033</v>
      </c>
    </row>
    <row r="560" spans="1:10">
      <c r="A560" t="s">
        <v>677</v>
      </c>
      <c r="B560">
        <v>4039</v>
      </c>
      <c r="C560">
        <v>35</v>
      </c>
      <c r="D560">
        <v>15</v>
      </c>
      <c r="E560">
        <v>95</v>
      </c>
      <c r="F560">
        <v>65</v>
      </c>
      <c r="G560">
        <v>-24</v>
      </c>
      <c r="H560">
        <v>-17</v>
      </c>
      <c r="I560">
        <v>-11</v>
      </c>
      <c r="J560" t="s">
        <v>1033</v>
      </c>
    </row>
    <row r="561" spans="1:10">
      <c r="A561" t="s">
        <v>678</v>
      </c>
      <c r="B561">
        <v>285</v>
      </c>
      <c r="C561">
        <v>42</v>
      </c>
      <c r="D561">
        <v>-2</v>
      </c>
      <c r="E561">
        <v>86</v>
      </c>
      <c r="F561">
        <v>70</v>
      </c>
      <c r="G561">
        <v>14</v>
      </c>
      <c r="H561">
        <v>21</v>
      </c>
      <c r="I561">
        <v>27</v>
      </c>
      <c r="J561" t="s">
        <v>1359</v>
      </c>
    </row>
    <row r="562" spans="1:10">
      <c r="A562" t="s">
        <v>679</v>
      </c>
      <c r="B562">
        <v>275</v>
      </c>
      <c r="C562">
        <v>42</v>
      </c>
      <c r="D562">
        <v>1</v>
      </c>
      <c r="E562">
        <v>88</v>
      </c>
      <c r="F562">
        <v>72</v>
      </c>
      <c r="G562">
        <v>23</v>
      </c>
      <c r="H562">
        <v>30</v>
      </c>
      <c r="I562">
        <v>36</v>
      </c>
      <c r="J562" t="s">
        <v>1359</v>
      </c>
    </row>
    <row r="563" spans="1:10">
      <c r="A563" t="s">
        <v>680</v>
      </c>
      <c r="B563">
        <v>417</v>
      </c>
      <c r="C563">
        <v>43</v>
      </c>
      <c r="D563">
        <v>2</v>
      </c>
      <c r="E563">
        <v>87</v>
      </c>
      <c r="F563">
        <v>71</v>
      </c>
      <c r="G563">
        <v>18</v>
      </c>
      <c r="H563">
        <v>24</v>
      </c>
      <c r="I563">
        <v>31</v>
      </c>
      <c r="J563" t="s">
        <v>1359</v>
      </c>
    </row>
    <row r="564" spans="1:10">
      <c r="A564" t="s">
        <v>681</v>
      </c>
      <c r="B564">
        <v>913</v>
      </c>
      <c r="C564">
        <v>43</v>
      </c>
      <c r="D564">
        <v>5</v>
      </c>
      <c r="E564">
        <v>87</v>
      </c>
      <c r="F564">
        <v>71</v>
      </c>
      <c r="G564">
        <v>19</v>
      </c>
      <c r="H564">
        <v>26</v>
      </c>
      <c r="I564">
        <v>32</v>
      </c>
      <c r="J564" t="s">
        <v>1359</v>
      </c>
    </row>
    <row r="565" spans="1:10">
      <c r="A565" t="s">
        <v>682</v>
      </c>
      <c r="B565">
        <v>1590</v>
      </c>
      <c r="C565">
        <v>42</v>
      </c>
      <c r="D565">
        <v>2</v>
      </c>
      <c r="E565">
        <v>82</v>
      </c>
      <c r="F565">
        <v>69</v>
      </c>
      <c r="G565">
        <v>15</v>
      </c>
      <c r="H565">
        <v>22</v>
      </c>
      <c r="I565">
        <v>28</v>
      </c>
      <c r="J565" t="s">
        <v>1359</v>
      </c>
    </row>
    <row r="566" spans="1:10">
      <c r="A566" t="s">
        <v>683</v>
      </c>
      <c r="B566">
        <v>705</v>
      </c>
      <c r="C566">
        <v>43</v>
      </c>
      <c r="D566">
        <v>5</v>
      </c>
      <c r="E566">
        <v>84</v>
      </c>
      <c r="F566">
        <v>69</v>
      </c>
      <c r="G566">
        <v>12</v>
      </c>
      <c r="H566">
        <v>19</v>
      </c>
      <c r="I566">
        <v>25</v>
      </c>
      <c r="J566" t="s">
        <v>1359</v>
      </c>
    </row>
    <row r="567" spans="1:10">
      <c r="A567" t="s">
        <v>684</v>
      </c>
      <c r="B567">
        <v>98</v>
      </c>
      <c r="C567">
        <v>40</v>
      </c>
      <c r="D567">
        <v>15</v>
      </c>
      <c r="E567">
        <v>85</v>
      </c>
      <c r="F567">
        <v>72</v>
      </c>
      <c r="G567">
        <v>28</v>
      </c>
      <c r="H567">
        <v>35</v>
      </c>
      <c r="I567">
        <v>41</v>
      </c>
      <c r="J567" t="s">
        <v>1359</v>
      </c>
    </row>
    <row r="568" spans="1:10">
      <c r="A568" t="s">
        <v>685</v>
      </c>
      <c r="B568">
        <v>1198</v>
      </c>
      <c r="C568">
        <v>42</v>
      </c>
      <c r="D568">
        <v>0</v>
      </c>
      <c r="E568">
        <v>85</v>
      </c>
      <c r="F568">
        <v>71</v>
      </c>
      <c r="G568">
        <v>22</v>
      </c>
      <c r="H568">
        <v>29</v>
      </c>
      <c r="I568">
        <v>35</v>
      </c>
      <c r="J568" t="s">
        <v>1359</v>
      </c>
    </row>
    <row r="569" spans="1:10">
      <c r="A569" t="s">
        <v>686</v>
      </c>
      <c r="B569">
        <v>692</v>
      </c>
      <c r="C569">
        <v>42</v>
      </c>
      <c r="D569">
        <v>9</v>
      </c>
      <c r="E569">
        <v>85</v>
      </c>
      <c r="F569">
        <v>72</v>
      </c>
      <c r="G569">
        <v>28</v>
      </c>
      <c r="H569">
        <v>35</v>
      </c>
      <c r="I569">
        <v>41</v>
      </c>
      <c r="J569" t="s">
        <v>1359</v>
      </c>
    </row>
    <row r="570" spans="1:10">
      <c r="A570" t="s">
        <v>687</v>
      </c>
      <c r="B570">
        <v>955</v>
      </c>
      <c r="C570">
        <v>42</v>
      </c>
      <c r="D570">
        <v>3</v>
      </c>
      <c r="E570">
        <v>87</v>
      </c>
      <c r="F570">
        <v>71</v>
      </c>
      <c r="G570">
        <v>19</v>
      </c>
      <c r="H570">
        <v>26</v>
      </c>
      <c r="I570">
        <v>32</v>
      </c>
      <c r="J570" t="s">
        <v>1359</v>
      </c>
    </row>
    <row r="571" spans="1:10">
      <c r="A571" t="s">
        <v>688</v>
      </c>
      <c r="B571">
        <v>417</v>
      </c>
      <c r="C571">
        <v>42</v>
      </c>
      <c r="D571">
        <v>2</v>
      </c>
      <c r="E571">
        <v>87</v>
      </c>
      <c r="F571">
        <v>71</v>
      </c>
      <c r="G571">
        <v>18</v>
      </c>
      <c r="H571">
        <v>24</v>
      </c>
      <c r="I571">
        <v>31</v>
      </c>
      <c r="J571" t="s">
        <v>1359</v>
      </c>
    </row>
    <row r="572" spans="1:10">
      <c r="A572" t="s">
        <v>689</v>
      </c>
      <c r="B572">
        <v>328</v>
      </c>
      <c r="C572">
        <v>43</v>
      </c>
      <c r="D572">
        <v>-4</v>
      </c>
      <c r="E572">
        <v>85</v>
      </c>
      <c r="F572">
        <v>71</v>
      </c>
      <c r="G572">
        <v>22</v>
      </c>
      <c r="H572">
        <v>29</v>
      </c>
      <c r="I572">
        <v>35</v>
      </c>
      <c r="J572" t="s">
        <v>1359</v>
      </c>
    </row>
    <row r="573" spans="1:10">
      <c r="A573" t="s">
        <v>690</v>
      </c>
      <c r="B573">
        <v>417</v>
      </c>
      <c r="C573">
        <v>43</v>
      </c>
      <c r="D573">
        <v>-2</v>
      </c>
      <c r="E573">
        <v>86</v>
      </c>
      <c r="F573">
        <v>71</v>
      </c>
      <c r="G573">
        <v>19</v>
      </c>
      <c r="H573">
        <v>26</v>
      </c>
      <c r="I573">
        <v>33</v>
      </c>
      <c r="J573" t="s">
        <v>1359</v>
      </c>
    </row>
    <row r="574" spans="1:10">
      <c r="A574" t="s">
        <v>691</v>
      </c>
      <c r="B574">
        <v>1220</v>
      </c>
      <c r="C574">
        <v>42</v>
      </c>
      <c r="D574">
        <v>0</v>
      </c>
      <c r="E574">
        <v>85</v>
      </c>
      <c r="F574">
        <v>70</v>
      </c>
      <c r="G574">
        <v>16</v>
      </c>
      <c r="H574">
        <v>23</v>
      </c>
      <c r="I574">
        <v>29</v>
      </c>
      <c r="J574" t="s">
        <v>1359</v>
      </c>
    </row>
    <row r="575" spans="1:10">
      <c r="A575" t="s">
        <v>692</v>
      </c>
      <c r="B575">
        <v>1099</v>
      </c>
      <c r="C575">
        <v>42</v>
      </c>
      <c r="D575">
        <v>0</v>
      </c>
      <c r="E575">
        <v>85</v>
      </c>
      <c r="F575">
        <v>71</v>
      </c>
      <c r="G575">
        <v>22</v>
      </c>
      <c r="H575">
        <v>29</v>
      </c>
      <c r="I575">
        <v>35</v>
      </c>
      <c r="J575" t="s">
        <v>1359</v>
      </c>
    </row>
    <row r="576" spans="1:10">
      <c r="A576" t="s">
        <v>693</v>
      </c>
      <c r="B576">
        <v>1723</v>
      </c>
      <c r="C576">
        <v>42</v>
      </c>
      <c r="D576">
        <v>3</v>
      </c>
      <c r="E576">
        <v>86</v>
      </c>
      <c r="F576">
        <v>70</v>
      </c>
      <c r="G576">
        <v>14</v>
      </c>
      <c r="H576">
        <v>21</v>
      </c>
      <c r="I576">
        <v>27</v>
      </c>
      <c r="J576" t="s">
        <v>1359</v>
      </c>
    </row>
    <row r="577" spans="1:10">
      <c r="A577" t="s">
        <v>694</v>
      </c>
      <c r="B577">
        <v>149</v>
      </c>
      <c r="C577">
        <v>42</v>
      </c>
      <c r="D577">
        <v>2</v>
      </c>
      <c r="E577">
        <v>88</v>
      </c>
      <c r="F577">
        <v>72</v>
      </c>
      <c r="G577">
        <v>23</v>
      </c>
      <c r="H577">
        <v>30</v>
      </c>
      <c r="I577">
        <v>36</v>
      </c>
      <c r="J577" t="s">
        <v>1359</v>
      </c>
    </row>
    <row r="578" spans="1:10">
      <c r="A578" t="s">
        <v>695</v>
      </c>
      <c r="B578">
        <v>638</v>
      </c>
      <c r="C578">
        <v>43</v>
      </c>
      <c r="D578">
        <v>7</v>
      </c>
      <c r="E578">
        <v>86</v>
      </c>
      <c r="F578">
        <v>72</v>
      </c>
      <c r="G578">
        <v>26</v>
      </c>
      <c r="H578">
        <v>33</v>
      </c>
      <c r="I578">
        <v>39</v>
      </c>
      <c r="J578" t="s">
        <v>1359</v>
      </c>
    </row>
    <row r="579" spans="1:10">
      <c r="A579" t="s">
        <v>696</v>
      </c>
      <c r="B579">
        <v>213</v>
      </c>
      <c r="C579">
        <v>44</v>
      </c>
      <c r="D579">
        <v>-10</v>
      </c>
      <c r="E579">
        <v>84</v>
      </c>
      <c r="F579">
        <v>71</v>
      </c>
      <c r="G579">
        <v>23</v>
      </c>
      <c r="H579">
        <v>30</v>
      </c>
      <c r="I579">
        <v>36</v>
      </c>
      <c r="J579" t="s">
        <v>1359</v>
      </c>
    </row>
    <row r="580" spans="1:10">
      <c r="A580" t="s">
        <v>697</v>
      </c>
      <c r="B580">
        <v>471</v>
      </c>
      <c r="C580">
        <v>41</v>
      </c>
      <c r="D580">
        <v>10</v>
      </c>
      <c r="E580">
        <v>85</v>
      </c>
      <c r="F580">
        <v>72</v>
      </c>
      <c r="G580">
        <v>28</v>
      </c>
      <c r="H580">
        <v>35</v>
      </c>
      <c r="I580">
        <v>41</v>
      </c>
      <c r="J580" t="s">
        <v>1359</v>
      </c>
    </row>
    <row r="581" spans="1:10">
      <c r="A581" t="s">
        <v>698</v>
      </c>
      <c r="B581">
        <v>7</v>
      </c>
      <c r="C581">
        <v>40</v>
      </c>
      <c r="D581">
        <v>15</v>
      </c>
      <c r="E581">
        <v>89</v>
      </c>
      <c r="F581">
        <v>73</v>
      </c>
      <c r="G581">
        <v>27</v>
      </c>
      <c r="H581">
        <v>34</v>
      </c>
      <c r="I581">
        <v>40</v>
      </c>
      <c r="J581" t="s">
        <v>1359</v>
      </c>
    </row>
    <row r="582" spans="1:10">
      <c r="A582" t="s">
        <v>699</v>
      </c>
      <c r="B582">
        <v>13</v>
      </c>
      <c r="C582">
        <v>40</v>
      </c>
      <c r="D582">
        <v>15</v>
      </c>
      <c r="E582">
        <v>88</v>
      </c>
      <c r="F582">
        <v>72</v>
      </c>
      <c r="G582">
        <v>23</v>
      </c>
      <c r="H582">
        <v>30</v>
      </c>
      <c r="I582">
        <v>36</v>
      </c>
      <c r="J582" t="s">
        <v>1359</v>
      </c>
    </row>
    <row r="583" spans="1:10">
      <c r="A583" t="s">
        <v>700</v>
      </c>
      <c r="B583">
        <v>22</v>
      </c>
      <c r="C583">
        <v>40</v>
      </c>
      <c r="D583">
        <v>17</v>
      </c>
      <c r="E583">
        <v>89</v>
      </c>
      <c r="F583">
        <v>73</v>
      </c>
      <c r="G583">
        <v>27</v>
      </c>
      <c r="H583">
        <v>34</v>
      </c>
      <c r="I583">
        <v>40</v>
      </c>
      <c r="J583" t="s">
        <v>1359</v>
      </c>
    </row>
    <row r="584" spans="1:10">
      <c r="A584" t="s">
        <v>701</v>
      </c>
      <c r="B584">
        <v>590</v>
      </c>
      <c r="C584">
        <v>43</v>
      </c>
      <c r="D584">
        <v>7</v>
      </c>
      <c r="E584">
        <v>85</v>
      </c>
      <c r="F584">
        <v>71</v>
      </c>
      <c r="G584">
        <v>22</v>
      </c>
      <c r="H584">
        <v>29</v>
      </c>
      <c r="I584">
        <v>35</v>
      </c>
      <c r="J584" t="s">
        <v>1359</v>
      </c>
    </row>
    <row r="585" spans="1:10">
      <c r="A585" t="s">
        <v>702</v>
      </c>
      <c r="B585">
        <v>2135</v>
      </c>
      <c r="C585">
        <v>42</v>
      </c>
      <c r="D585">
        <v>2</v>
      </c>
      <c r="E585">
        <v>84</v>
      </c>
      <c r="F585">
        <v>71</v>
      </c>
      <c r="G585">
        <v>23</v>
      </c>
      <c r="H585">
        <v>30</v>
      </c>
      <c r="I585">
        <v>36</v>
      </c>
      <c r="J585" t="s">
        <v>1359</v>
      </c>
    </row>
    <row r="586" spans="1:10">
      <c r="A586" t="s">
        <v>703</v>
      </c>
      <c r="B586">
        <v>1764</v>
      </c>
      <c r="C586">
        <v>42</v>
      </c>
      <c r="D586">
        <v>-4</v>
      </c>
      <c r="E586">
        <v>83</v>
      </c>
      <c r="F586">
        <v>69</v>
      </c>
      <c r="G586">
        <v>14</v>
      </c>
      <c r="H586">
        <v>21</v>
      </c>
      <c r="I586">
        <v>27</v>
      </c>
      <c r="J586" t="s">
        <v>1359</v>
      </c>
    </row>
    <row r="587" spans="1:10">
      <c r="A587" t="s">
        <v>704</v>
      </c>
      <c r="B587">
        <v>300</v>
      </c>
      <c r="C587">
        <v>43</v>
      </c>
      <c r="D587">
        <v>7</v>
      </c>
      <c r="E587">
        <v>83</v>
      </c>
      <c r="F587">
        <v>71</v>
      </c>
      <c r="G587">
        <v>25</v>
      </c>
      <c r="H587">
        <v>32</v>
      </c>
      <c r="I587">
        <v>38</v>
      </c>
      <c r="J587" t="s">
        <v>1359</v>
      </c>
    </row>
    <row r="588" spans="1:10">
      <c r="A588" t="s">
        <v>705</v>
      </c>
      <c r="B588">
        <v>235</v>
      </c>
      <c r="C588">
        <v>44</v>
      </c>
      <c r="D588">
        <v>-4</v>
      </c>
      <c r="E588">
        <v>83</v>
      </c>
      <c r="F588">
        <v>69</v>
      </c>
      <c r="G588">
        <v>14</v>
      </c>
      <c r="H588">
        <v>21</v>
      </c>
      <c r="I588">
        <v>27</v>
      </c>
      <c r="J588" t="s">
        <v>1359</v>
      </c>
    </row>
    <row r="589" spans="1:10">
      <c r="A589" t="s">
        <v>706</v>
      </c>
      <c r="B589">
        <v>165</v>
      </c>
      <c r="C589">
        <v>41</v>
      </c>
      <c r="D589">
        <v>6</v>
      </c>
      <c r="E589">
        <v>88</v>
      </c>
      <c r="F589">
        <v>72</v>
      </c>
      <c r="G589">
        <v>23</v>
      </c>
      <c r="H589">
        <v>30</v>
      </c>
      <c r="I589">
        <v>36</v>
      </c>
      <c r="J589" t="s">
        <v>1359</v>
      </c>
    </row>
    <row r="590" spans="1:10">
      <c r="A590" t="s">
        <v>707</v>
      </c>
      <c r="B590">
        <v>547</v>
      </c>
      <c r="C590">
        <v>43</v>
      </c>
      <c r="D590">
        <v>5</v>
      </c>
      <c r="E590">
        <v>86</v>
      </c>
      <c r="F590">
        <v>71</v>
      </c>
      <c r="G590">
        <v>20</v>
      </c>
      <c r="H590">
        <v>27</v>
      </c>
      <c r="I590">
        <v>33</v>
      </c>
      <c r="J590" t="s">
        <v>1359</v>
      </c>
    </row>
    <row r="591" spans="1:10">
      <c r="A591" t="s">
        <v>708</v>
      </c>
      <c r="B591">
        <v>514</v>
      </c>
      <c r="C591">
        <v>43</v>
      </c>
      <c r="D591">
        <v>1</v>
      </c>
      <c r="E591">
        <v>86</v>
      </c>
      <c r="F591">
        <v>70</v>
      </c>
      <c r="G591">
        <v>14</v>
      </c>
      <c r="H591">
        <v>21</v>
      </c>
      <c r="I591">
        <v>27</v>
      </c>
      <c r="J591" t="s">
        <v>1359</v>
      </c>
    </row>
    <row r="592" spans="1:10">
      <c r="A592" t="s">
        <v>709</v>
      </c>
      <c r="B592">
        <v>378</v>
      </c>
      <c r="C592">
        <v>42</v>
      </c>
      <c r="D592">
        <v>1</v>
      </c>
      <c r="E592">
        <v>87</v>
      </c>
      <c r="F592">
        <v>72</v>
      </c>
      <c r="G592">
        <v>24</v>
      </c>
      <c r="H592">
        <v>31</v>
      </c>
      <c r="I592">
        <v>37</v>
      </c>
      <c r="J592" t="s">
        <v>1359</v>
      </c>
    </row>
    <row r="593" spans="1:10">
      <c r="A593" t="s">
        <v>710</v>
      </c>
      <c r="B593">
        <v>67</v>
      </c>
      <c r="C593">
        <v>40</v>
      </c>
      <c r="D593">
        <v>10</v>
      </c>
      <c r="E593">
        <v>83</v>
      </c>
      <c r="F593">
        <v>71</v>
      </c>
      <c r="G593">
        <v>25</v>
      </c>
      <c r="H593">
        <v>32</v>
      </c>
      <c r="I593">
        <v>38</v>
      </c>
      <c r="J593" t="s">
        <v>1359</v>
      </c>
    </row>
    <row r="594" spans="1:10">
      <c r="A594" t="s">
        <v>711</v>
      </c>
      <c r="B594">
        <v>410</v>
      </c>
      <c r="C594">
        <v>43</v>
      </c>
      <c r="D594">
        <v>2</v>
      </c>
      <c r="E594">
        <v>85</v>
      </c>
      <c r="F594">
        <v>71</v>
      </c>
      <c r="G594">
        <v>22</v>
      </c>
      <c r="H594">
        <v>29</v>
      </c>
      <c r="I594">
        <v>35</v>
      </c>
      <c r="J594" t="s">
        <v>1359</v>
      </c>
    </row>
    <row r="595" spans="1:10">
      <c r="A595" t="s">
        <v>712</v>
      </c>
      <c r="B595">
        <v>742</v>
      </c>
      <c r="C595">
        <v>43</v>
      </c>
      <c r="D595">
        <v>-6</v>
      </c>
      <c r="E595">
        <v>85</v>
      </c>
      <c r="F595">
        <v>71</v>
      </c>
      <c r="G595">
        <v>22</v>
      </c>
      <c r="H595">
        <v>29</v>
      </c>
      <c r="I595">
        <v>35</v>
      </c>
      <c r="J595" t="s">
        <v>1359</v>
      </c>
    </row>
    <row r="596" spans="1:10">
      <c r="A596" t="s">
        <v>713</v>
      </c>
      <c r="B596">
        <v>325</v>
      </c>
      <c r="C596">
        <v>44</v>
      </c>
      <c r="D596">
        <v>-6</v>
      </c>
      <c r="E596">
        <v>83</v>
      </c>
      <c r="F596" t="s">
        <v>714</v>
      </c>
      <c r="G596">
        <v>19</v>
      </c>
      <c r="H596">
        <v>26</v>
      </c>
      <c r="I596">
        <v>32</v>
      </c>
      <c r="J596" t="s">
        <v>1359</v>
      </c>
    </row>
    <row r="597" spans="1:10">
      <c r="A597" t="s">
        <v>715</v>
      </c>
      <c r="B597">
        <v>439</v>
      </c>
      <c r="C597">
        <v>41</v>
      </c>
      <c r="D597">
        <v>12</v>
      </c>
      <c r="E597">
        <v>87</v>
      </c>
      <c r="F597">
        <v>72</v>
      </c>
      <c r="G597">
        <v>24</v>
      </c>
      <c r="H597">
        <v>31</v>
      </c>
      <c r="I597">
        <v>37</v>
      </c>
      <c r="J597" t="s">
        <v>1359</v>
      </c>
    </row>
    <row r="598" spans="1:10">
      <c r="A598" t="s">
        <v>716</v>
      </c>
      <c r="B598">
        <v>2140</v>
      </c>
      <c r="C598">
        <v>35</v>
      </c>
      <c r="D598">
        <v>16</v>
      </c>
      <c r="E598">
        <v>85</v>
      </c>
      <c r="F598">
        <v>71</v>
      </c>
      <c r="G598">
        <v>22</v>
      </c>
      <c r="H598">
        <v>29</v>
      </c>
      <c r="I598">
        <v>35</v>
      </c>
      <c r="J598" t="s">
        <v>1359</v>
      </c>
    </row>
    <row r="599" spans="1:10">
      <c r="A599" t="s">
        <v>717</v>
      </c>
      <c r="B599">
        <v>7</v>
      </c>
      <c r="C599">
        <v>35</v>
      </c>
      <c r="D599">
        <v>29</v>
      </c>
      <c r="E599">
        <v>86</v>
      </c>
      <c r="F599">
        <v>77</v>
      </c>
      <c r="G599">
        <v>57</v>
      </c>
      <c r="H599">
        <v>64</v>
      </c>
      <c r="I599">
        <v>70</v>
      </c>
      <c r="J599" t="s">
        <v>1032</v>
      </c>
    </row>
    <row r="600" spans="1:10">
      <c r="A600" t="s">
        <v>718</v>
      </c>
      <c r="B600">
        <v>736</v>
      </c>
      <c r="C600">
        <v>35</v>
      </c>
      <c r="D600">
        <v>23</v>
      </c>
      <c r="E600">
        <v>91</v>
      </c>
      <c r="F600">
        <v>74</v>
      </c>
      <c r="G600">
        <v>30</v>
      </c>
      <c r="H600">
        <v>37</v>
      </c>
      <c r="I600">
        <v>43</v>
      </c>
      <c r="J600" t="s">
        <v>1359</v>
      </c>
    </row>
    <row r="601" spans="1:10">
      <c r="A601" t="s">
        <v>719</v>
      </c>
      <c r="B601">
        <v>29</v>
      </c>
      <c r="C601">
        <v>34</v>
      </c>
      <c r="D601">
        <v>28</v>
      </c>
      <c r="E601">
        <v>92</v>
      </c>
      <c r="F601">
        <v>78</v>
      </c>
      <c r="G601">
        <v>54</v>
      </c>
      <c r="H601">
        <v>61</v>
      </c>
      <c r="I601">
        <v>67</v>
      </c>
      <c r="J601" t="s">
        <v>1359</v>
      </c>
    </row>
    <row r="602" spans="1:10">
      <c r="A602" t="s">
        <v>720</v>
      </c>
      <c r="B602">
        <v>427</v>
      </c>
      <c r="C602">
        <v>36</v>
      </c>
      <c r="D602">
        <v>20</v>
      </c>
      <c r="E602">
        <v>92</v>
      </c>
      <c r="F602">
        <v>75</v>
      </c>
      <c r="G602">
        <v>33</v>
      </c>
      <c r="H602">
        <v>40</v>
      </c>
      <c r="I602">
        <v>46</v>
      </c>
      <c r="J602" t="s">
        <v>1359</v>
      </c>
    </row>
    <row r="603" spans="1:10">
      <c r="A603" t="s">
        <v>721</v>
      </c>
      <c r="B603">
        <v>12</v>
      </c>
      <c r="C603">
        <v>36</v>
      </c>
      <c r="D603">
        <v>19</v>
      </c>
      <c r="E603">
        <v>91</v>
      </c>
      <c r="F603">
        <v>77</v>
      </c>
      <c r="G603">
        <v>49</v>
      </c>
      <c r="H603">
        <v>56</v>
      </c>
      <c r="I603">
        <v>62</v>
      </c>
      <c r="J603" t="s">
        <v>1359</v>
      </c>
    </row>
    <row r="604" spans="1:10">
      <c r="A604" t="s">
        <v>722</v>
      </c>
      <c r="B604">
        <v>218</v>
      </c>
      <c r="C604">
        <v>35</v>
      </c>
      <c r="D604">
        <v>27</v>
      </c>
      <c r="E604">
        <v>94</v>
      </c>
      <c r="F604">
        <v>76</v>
      </c>
      <c r="G604">
        <v>37</v>
      </c>
      <c r="H604">
        <v>44</v>
      </c>
      <c r="I604">
        <v>50</v>
      </c>
      <c r="J604" t="s">
        <v>1359</v>
      </c>
    </row>
    <row r="605" spans="1:10">
      <c r="A605" t="s">
        <v>723</v>
      </c>
      <c r="B605">
        <v>154</v>
      </c>
      <c r="C605">
        <v>35</v>
      </c>
      <c r="D605">
        <v>27</v>
      </c>
      <c r="E605">
        <v>94</v>
      </c>
      <c r="F605">
        <v>76</v>
      </c>
      <c r="G605">
        <v>35</v>
      </c>
      <c r="H605">
        <v>42</v>
      </c>
      <c r="I605">
        <v>49</v>
      </c>
      <c r="J605" t="s">
        <v>1359</v>
      </c>
    </row>
    <row r="606" spans="1:10">
      <c r="A606" t="s">
        <v>724</v>
      </c>
      <c r="B606">
        <v>108</v>
      </c>
      <c r="C606">
        <v>35</v>
      </c>
      <c r="D606">
        <v>27</v>
      </c>
      <c r="E606">
        <v>94</v>
      </c>
      <c r="F606">
        <v>76</v>
      </c>
      <c r="G606">
        <v>35</v>
      </c>
      <c r="H606">
        <v>42</v>
      </c>
      <c r="I606">
        <v>49</v>
      </c>
      <c r="J606" t="s">
        <v>1359</v>
      </c>
    </row>
    <row r="607" spans="1:10">
      <c r="A607" t="s">
        <v>725</v>
      </c>
      <c r="B607">
        <v>897</v>
      </c>
      <c r="C607">
        <v>36</v>
      </c>
      <c r="D607">
        <v>19</v>
      </c>
      <c r="E607">
        <v>90</v>
      </c>
      <c r="F607">
        <v>74</v>
      </c>
      <c r="G607">
        <v>30</v>
      </c>
      <c r="H607">
        <v>37</v>
      </c>
      <c r="I607">
        <v>43</v>
      </c>
      <c r="J607" t="s">
        <v>1359</v>
      </c>
    </row>
    <row r="608" spans="1:10">
      <c r="A608" t="s">
        <v>726</v>
      </c>
      <c r="B608">
        <v>27</v>
      </c>
      <c r="C608">
        <v>35</v>
      </c>
      <c r="D608">
        <v>21</v>
      </c>
      <c r="E608">
        <v>91</v>
      </c>
      <c r="F608">
        <v>76</v>
      </c>
      <c r="G608">
        <v>42</v>
      </c>
      <c r="H608">
        <v>49</v>
      </c>
      <c r="I608">
        <v>55</v>
      </c>
      <c r="J608" t="s">
        <v>1359</v>
      </c>
    </row>
    <row r="609" spans="1:10">
      <c r="A609" t="s">
        <v>727</v>
      </c>
      <c r="B609">
        <v>2084</v>
      </c>
      <c r="C609">
        <v>36</v>
      </c>
      <c r="D609">
        <v>15</v>
      </c>
      <c r="E609">
        <v>92</v>
      </c>
      <c r="F609">
        <v>76</v>
      </c>
      <c r="G609">
        <v>41</v>
      </c>
      <c r="H609">
        <v>48</v>
      </c>
      <c r="I609">
        <v>54</v>
      </c>
      <c r="J609" t="s">
        <v>1359</v>
      </c>
    </row>
    <row r="610" spans="1:10">
      <c r="A610" t="s">
        <v>728</v>
      </c>
      <c r="B610">
        <v>1188</v>
      </c>
      <c r="C610">
        <v>35</v>
      </c>
      <c r="D610">
        <v>23</v>
      </c>
      <c r="E610">
        <v>91</v>
      </c>
      <c r="F610">
        <v>72</v>
      </c>
      <c r="G610">
        <v>18</v>
      </c>
      <c r="H610">
        <v>25</v>
      </c>
      <c r="I610">
        <v>31</v>
      </c>
      <c r="J610" t="s">
        <v>1359</v>
      </c>
    </row>
    <row r="611" spans="1:10">
      <c r="A611" t="s">
        <v>729</v>
      </c>
      <c r="B611">
        <v>26</v>
      </c>
      <c r="C611">
        <v>34</v>
      </c>
      <c r="D611">
        <v>27</v>
      </c>
      <c r="E611">
        <v>92</v>
      </c>
      <c r="F611">
        <v>78</v>
      </c>
      <c r="G611">
        <v>54</v>
      </c>
      <c r="H611">
        <v>61</v>
      </c>
      <c r="I611">
        <v>67</v>
      </c>
      <c r="J611" t="s">
        <v>1359</v>
      </c>
    </row>
    <row r="612" spans="1:10">
      <c r="A612" t="s">
        <v>730</v>
      </c>
      <c r="B612">
        <v>126</v>
      </c>
      <c r="C612">
        <v>34</v>
      </c>
      <c r="D612">
        <v>21</v>
      </c>
      <c r="E612">
        <v>92</v>
      </c>
      <c r="F612">
        <v>76</v>
      </c>
      <c r="G612">
        <v>41</v>
      </c>
      <c r="H612">
        <v>48</v>
      </c>
      <c r="I612">
        <v>54</v>
      </c>
      <c r="J612" t="s">
        <v>1359</v>
      </c>
    </row>
    <row r="613" spans="1:10">
      <c r="A613" t="s">
        <v>731</v>
      </c>
      <c r="B613">
        <v>19</v>
      </c>
      <c r="C613">
        <v>35</v>
      </c>
      <c r="D613">
        <v>27</v>
      </c>
      <c r="E613">
        <v>92</v>
      </c>
      <c r="F613">
        <v>78</v>
      </c>
      <c r="G613">
        <v>54</v>
      </c>
      <c r="H613">
        <v>61</v>
      </c>
      <c r="I613">
        <v>67</v>
      </c>
      <c r="J613" t="s">
        <v>1359</v>
      </c>
    </row>
    <row r="614" spans="1:10">
      <c r="A614" t="s">
        <v>732</v>
      </c>
      <c r="B614">
        <v>434</v>
      </c>
      <c r="C614">
        <v>35</v>
      </c>
      <c r="D614">
        <v>20</v>
      </c>
      <c r="E614">
        <v>90</v>
      </c>
      <c r="F614">
        <v>75</v>
      </c>
      <c r="G614">
        <v>38</v>
      </c>
      <c r="H614">
        <v>45</v>
      </c>
      <c r="I614">
        <v>51</v>
      </c>
      <c r="J614" t="s">
        <v>1359</v>
      </c>
    </row>
    <row r="615" spans="1:10">
      <c r="A615" t="s">
        <v>733</v>
      </c>
      <c r="B615">
        <v>159</v>
      </c>
      <c r="C615">
        <v>36</v>
      </c>
      <c r="D615">
        <v>21</v>
      </c>
      <c r="E615">
        <v>91</v>
      </c>
      <c r="F615">
        <v>76</v>
      </c>
      <c r="G615">
        <v>42</v>
      </c>
      <c r="H615">
        <v>49</v>
      </c>
      <c r="I615">
        <v>55</v>
      </c>
      <c r="J615" t="s">
        <v>1359</v>
      </c>
    </row>
    <row r="616" spans="1:10">
      <c r="A616" t="s">
        <v>734</v>
      </c>
      <c r="B616">
        <v>28</v>
      </c>
      <c r="C616">
        <v>34</v>
      </c>
      <c r="D616">
        <v>27</v>
      </c>
      <c r="E616">
        <v>91</v>
      </c>
      <c r="F616">
        <v>78</v>
      </c>
      <c r="G616">
        <v>56</v>
      </c>
      <c r="H616">
        <v>63</v>
      </c>
      <c r="I616">
        <v>69</v>
      </c>
      <c r="J616" t="s">
        <v>1359</v>
      </c>
    </row>
    <row r="617" spans="1:10">
      <c r="A617" t="s">
        <v>735</v>
      </c>
      <c r="B617">
        <v>969</v>
      </c>
      <c r="C617">
        <v>36</v>
      </c>
      <c r="D617">
        <v>23</v>
      </c>
      <c r="E617">
        <v>89</v>
      </c>
      <c r="F617">
        <v>74</v>
      </c>
      <c r="G617">
        <v>33</v>
      </c>
      <c r="H617">
        <v>40</v>
      </c>
      <c r="I617">
        <v>46</v>
      </c>
      <c r="J617" t="s">
        <v>1359</v>
      </c>
    </row>
    <row r="618" spans="1:10">
      <c r="A618" t="s">
        <v>736</v>
      </c>
      <c r="B618">
        <v>1647</v>
      </c>
      <c r="C618">
        <v>46</v>
      </c>
      <c r="D618">
        <v>-16</v>
      </c>
      <c r="E618">
        <v>90</v>
      </c>
      <c r="F618">
        <v>67</v>
      </c>
      <c r="G618">
        <v>-8</v>
      </c>
      <c r="H618">
        <v>-1</v>
      </c>
      <c r="I618">
        <v>5</v>
      </c>
      <c r="J618" t="s">
        <v>1033</v>
      </c>
    </row>
    <row r="619" spans="1:10">
      <c r="A619" t="s">
        <v>737</v>
      </c>
      <c r="B619">
        <v>1453</v>
      </c>
      <c r="C619">
        <v>48</v>
      </c>
      <c r="D619">
        <v>-19</v>
      </c>
      <c r="E619">
        <v>87</v>
      </c>
      <c r="F619">
        <v>67</v>
      </c>
      <c r="G619">
        <v>-3</v>
      </c>
      <c r="H619">
        <v>4</v>
      </c>
      <c r="I619">
        <v>10</v>
      </c>
      <c r="J619" t="s">
        <v>1359</v>
      </c>
    </row>
    <row r="620" spans="1:10">
      <c r="A620" t="s">
        <v>738</v>
      </c>
      <c r="B620">
        <v>2585</v>
      </c>
      <c r="C620">
        <v>46</v>
      </c>
      <c r="D620">
        <v>-17</v>
      </c>
      <c r="E620">
        <v>90</v>
      </c>
      <c r="F620">
        <v>66</v>
      </c>
      <c r="G620">
        <v>-13</v>
      </c>
      <c r="H620">
        <v>-6</v>
      </c>
      <c r="I620">
        <v>0</v>
      </c>
      <c r="J620" t="s">
        <v>1359</v>
      </c>
    </row>
    <row r="621" spans="1:10">
      <c r="A621" t="s">
        <v>739</v>
      </c>
      <c r="B621">
        <v>869</v>
      </c>
      <c r="C621">
        <v>46</v>
      </c>
      <c r="D621">
        <v>-17</v>
      </c>
      <c r="E621">
        <v>88</v>
      </c>
      <c r="F621">
        <v>70</v>
      </c>
      <c r="G621">
        <v>11</v>
      </c>
      <c r="H621">
        <v>18</v>
      </c>
      <c r="I621">
        <v>24</v>
      </c>
      <c r="J621" t="s">
        <v>1359</v>
      </c>
    </row>
    <row r="622" spans="1:10">
      <c r="A622" t="s">
        <v>740</v>
      </c>
      <c r="B622">
        <v>911</v>
      </c>
      <c r="C622">
        <v>48</v>
      </c>
      <c r="D622">
        <v>-16</v>
      </c>
      <c r="E622">
        <v>88</v>
      </c>
      <c r="F622">
        <v>69</v>
      </c>
      <c r="G622">
        <v>6</v>
      </c>
      <c r="H622">
        <v>13</v>
      </c>
      <c r="I622">
        <v>19</v>
      </c>
      <c r="J622" t="s">
        <v>1359</v>
      </c>
    </row>
    <row r="623" spans="1:10">
      <c r="A623" t="s">
        <v>741</v>
      </c>
      <c r="B623">
        <v>1498</v>
      </c>
      <c r="C623">
        <v>47</v>
      </c>
      <c r="D623">
        <v>-18</v>
      </c>
      <c r="E623">
        <v>90</v>
      </c>
      <c r="F623">
        <v>69</v>
      </c>
      <c r="G623">
        <v>3</v>
      </c>
      <c r="H623">
        <v>10</v>
      </c>
      <c r="I623">
        <v>16</v>
      </c>
      <c r="J623" t="s">
        <v>1033</v>
      </c>
    </row>
    <row r="624" spans="1:10">
      <c r="A624" t="s">
        <v>742</v>
      </c>
      <c r="B624">
        <v>1668</v>
      </c>
      <c r="C624">
        <v>48</v>
      </c>
      <c r="D624">
        <v>-16</v>
      </c>
      <c r="E624">
        <v>88</v>
      </c>
      <c r="F624">
        <v>66</v>
      </c>
      <c r="G624">
        <v>-10</v>
      </c>
      <c r="H624">
        <v>-3</v>
      </c>
      <c r="I624">
        <v>3</v>
      </c>
      <c r="J624" t="s">
        <v>1359</v>
      </c>
    </row>
    <row r="625" spans="1:10">
      <c r="A625" t="s">
        <v>743</v>
      </c>
      <c r="B625">
        <v>1667</v>
      </c>
      <c r="C625">
        <v>48</v>
      </c>
      <c r="D625">
        <v>-16</v>
      </c>
      <c r="E625">
        <v>90</v>
      </c>
      <c r="F625">
        <v>67</v>
      </c>
      <c r="G625">
        <v>-8</v>
      </c>
      <c r="H625">
        <v>-1</v>
      </c>
      <c r="I625">
        <v>5</v>
      </c>
      <c r="J625" t="s">
        <v>1033</v>
      </c>
    </row>
    <row r="626" spans="1:10">
      <c r="A626" t="s">
        <v>744</v>
      </c>
      <c r="B626">
        <v>1906</v>
      </c>
      <c r="C626">
        <v>48</v>
      </c>
      <c r="D626">
        <v>-18</v>
      </c>
      <c r="E626">
        <v>92</v>
      </c>
      <c r="F626">
        <v>66</v>
      </c>
      <c r="G626">
        <v>-16</v>
      </c>
      <c r="H626">
        <v>-9</v>
      </c>
      <c r="I626">
        <v>-3</v>
      </c>
      <c r="J626" t="s">
        <v>1359</v>
      </c>
    </row>
    <row r="627" spans="1:10">
      <c r="A627" t="s">
        <v>745</v>
      </c>
      <c r="B627">
        <v>1228</v>
      </c>
      <c r="C627">
        <v>41</v>
      </c>
      <c r="D627">
        <v>5</v>
      </c>
      <c r="E627">
        <v>85</v>
      </c>
      <c r="F627">
        <v>71</v>
      </c>
      <c r="G627">
        <v>22</v>
      </c>
      <c r="H627">
        <v>29</v>
      </c>
      <c r="I627">
        <v>35</v>
      </c>
      <c r="J627" t="s">
        <v>1359</v>
      </c>
    </row>
    <row r="628" spans="1:10">
      <c r="A628" t="s">
        <v>746</v>
      </c>
      <c r="B628">
        <v>924</v>
      </c>
      <c r="C628">
        <v>41</v>
      </c>
      <c r="D628">
        <v>9</v>
      </c>
      <c r="E628">
        <v>85</v>
      </c>
      <c r="F628">
        <v>72</v>
      </c>
      <c r="G628">
        <v>28</v>
      </c>
      <c r="H628">
        <v>35</v>
      </c>
      <c r="I628">
        <v>41</v>
      </c>
      <c r="J628" t="s">
        <v>1359</v>
      </c>
    </row>
    <row r="629" spans="1:10">
      <c r="A629" t="s">
        <v>747</v>
      </c>
      <c r="B629">
        <v>766</v>
      </c>
      <c r="C629">
        <v>39</v>
      </c>
      <c r="D629">
        <v>6</v>
      </c>
      <c r="E629">
        <v>92</v>
      </c>
      <c r="F629">
        <v>74</v>
      </c>
      <c r="G629">
        <v>28</v>
      </c>
      <c r="H629">
        <v>35</v>
      </c>
      <c r="I629">
        <v>41</v>
      </c>
      <c r="J629" t="s">
        <v>1359</v>
      </c>
    </row>
    <row r="630" spans="1:10">
      <c r="A630" t="s">
        <v>748</v>
      </c>
      <c r="B630">
        <v>673</v>
      </c>
      <c r="C630">
        <v>41</v>
      </c>
      <c r="D630">
        <v>2</v>
      </c>
      <c r="E630">
        <v>89</v>
      </c>
      <c r="F630">
        <v>73</v>
      </c>
      <c r="G630">
        <v>27</v>
      </c>
      <c r="H630">
        <v>34</v>
      </c>
      <c r="I630">
        <v>40</v>
      </c>
      <c r="J630" t="s">
        <v>1359</v>
      </c>
    </row>
    <row r="631" spans="1:10">
      <c r="A631" t="s">
        <v>749</v>
      </c>
      <c r="B631">
        <v>800</v>
      </c>
      <c r="C631">
        <v>40</v>
      </c>
      <c r="D631">
        <v>7</v>
      </c>
      <c r="E631">
        <v>90</v>
      </c>
      <c r="F631">
        <v>74</v>
      </c>
      <c r="G631">
        <v>31</v>
      </c>
      <c r="H631">
        <v>38</v>
      </c>
      <c r="I631">
        <v>44</v>
      </c>
      <c r="J631" t="s">
        <v>1359</v>
      </c>
    </row>
    <row r="632" spans="1:10">
      <c r="A632" t="s">
        <v>750</v>
      </c>
      <c r="B632">
        <v>640</v>
      </c>
      <c r="C632">
        <v>39</v>
      </c>
      <c r="D632">
        <v>6</v>
      </c>
      <c r="E632">
        <v>92</v>
      </c>
      <c r="F632">
        <v>74</v>
      </c>
      <c r="G632">
        <v>28</v>
      </c>
      <c r="H632">
        <v>35</v>
      </c>
      <c r="I632">
        <v>41</v>
      </c>
      <c r="J632" t="s">
        <v>1359</v>
      </c>
    </row>
    <row r="633" spans="1:10">
      <c r="A633" t="s">
        <v>751</v>
      </c>
      <c r="B633">
        <v>869</v>
      </c>
      <c r="C633">
        <v>39</v>
      </c>
      <c r="D633">
        <v>12</v>
      </c>
      <c r="E633">
        <v>90</v>
      </c>
      <c r="F633">
        <v>75</v>
      </c>
      <c r="G633">
        <v>38</v>
      </c>
      <c r="H633">
        <v>45</v>
      </c>
      <c r="I633">
        <v>51</v>
      </c>
      <c r="J633" t="s">
        <v>1359</v>
      </c>
    </row>
    <row r="634" spans="1:10">
      <c r="A634" t="s">
        <v>752</v>
      </c>
      <c r="B634">
        <v>777</v>
      </c>
      <c r="C634">
        <v>41</v>
      </c>
      <c r="D634">
        <v>6</v>
      </c>
      <c r="E634">
        <v>86</v>
      </c>
      <c r="F634">
        <v>72</v>
      </c>
      <c r="G634">
        <v>26</v>
      </c>
      <c r="H634">
        <v>33</v>
      </c>
      <c r="I634">
        <v>39</v>
      </c>
      <c r="J634" t="s">
        <v>1359</v>
      </c>
    </row>
    <row r="635" spans="1:10">
      <c r="A635" t="s">
        <v>753</v>
      </c>
      <c r="B635">
        <v>812</v>
      </c>
      <c r="C635">
        <v>40</v>
      </c>
      <c r="D635">
        <v>6</v>
      </c>
      <c r="E635">
        <v>88</v>
      </c>
      <c r="F635">
        <v>73</v>
      </c>
      <c r="G635">
        <v>29</v>
      </c>
      <c r="H635">
        <v>36</v>
      </c>
      <c r="I635">
        <v>42</v>
      </c>
      <c r="J635" t="s">
        <v>1359</v>
      </c>
    </row>
    <row r="636" spans="1:10">
      <c r="A636" t="s">
        <v>754</v>
      </c>
      <c r="B636">
        <v>744</v>
      </c>
      <c r="C636">
        <v>39</v>
      </c>
      <c r="D636">
        <v>10</v>
      </c>
      <c r="E636">
        <v>89</v>
      </c>
      <c r="F636">
        <v>73</v>
      </c>
      <c r="G636">
        <v>27</v>
      </c>
      <c r="H636">
        <v>34</v>
      </c>
      <c r="I636">
        <v>40</v>
      </c>
      <c r="J636" t="s">
        <v>1359</v>
      </c>
    </row>
    <row r="637" spans="1:10">
      <c r="A637" t="s">
        <v>755</v>
      </c>
      <c r="B637">
        <v>1002</v>
      </c>
      <c r="C637">
        <v>39</v>
      </c>
      <c r="D637">
        <v>5</v>
      </c>
      <c r="E637">
        <v>88</v>
      </c>
      <c r="F637">
        <v>73</v>
      </c>
      <c r="G637">
        <v>29</v>
      </c>
      <c r="H637">
        <v>36</v>
      </c>
      <c r="I637">
        <v>42</v>
      </c>
      <c r="J637" t="s">
        <v>1359</v>
      </c>
    </row>
    <row r="638" spans="1:10">
      <c r="A638" t="s">
        <v>756</v>
      </c>
      <c r="B638">
        <v>824</v>
      </c>
      <c r="C638">
        <v>39</v>
      </c>
      <c r="D638">
        <v>8</v>
      </c>
      <c r="E638">
        <v>89</v>
      </c>
      <c r="F638">
        <v>74</v>
      </c>
      <c r="G638">
        <v>33</v>
      </c>
      <c r="H638">
        <v>40</v>
      </c>
      <c r="I638">
        <v>46</v>
      </c>
      <c r="J638" t="s">
        <v>1359</v>
      </c>
    </row>
    <row r="639" spans="1:10">
      <c r="A639" t="s">
        <v>757</v>
      </c>
      <c r="B639">
        <v>708</v>
      </c>
      <c r="C639">
        <v>41</v>
      </c>
      <c r="D639">
        <v>4</v>
      </c>
      <c r="E639">
        <v>91</v>
      </c>
      <c r="F639">
        <v>73</v>
      </c>
      <c r="G639">
        <v>24</v>
      </c>
      <c r="H639">
        <v>31</v>
      </c>
      <c r="I639">
        <v>37</v>
      </c>
      <c r="J639" t="s">
        <v>1359</v>
      </c>
    </row>
    <row r="640" spans="1:10">
      <c r="A640" t="s">
        <v>758</v>
      </c>
      <c r="B640">
        <v>810</v>
      </c>
      <c r="C640">
        <v>41</v>
      </c>
      <c r="D640">
        <v>4</v>
      </c>
      <c r="E640">
        <v>87</v>
      </c>
      <c r="F640">
        <v>72</v>
      </c>
      <c r="G640">
        <v>24</v>
      </c>
      <c r="H640">
        <v>31</v>
      </c>
      <c r="I640">
        <v>37</v>
      </c>
      <c r="J640" t="s">
        <v>1359</v>
      </c>
    </row>
    <row r="641" spans="1:10">
      <c r="A641" t="s">
        <v>759</v>
      </c>
      <c r="B641">
        <v>663</v>
      </c>
      <c r="C641">
        <v>41</v>
      </c>
      <c r="D641">
        <v>1</v>
      </c>
      <c r="E641">
        <v>88</v>
      </c>
      <c r="F641">
        <v>73</v>
      </c>
      <c r="G641">
        <v>29</v>
      </c>
      <c r="H641">
        <v>36</v>
      </c>
      <c r="I641">
        <v>42</v>
      </c>
      <c r="J641" t="s">
        <v>1359</v>
      </c>
    </row>
    <row r="642" spans="1:10">
      <c r="A642" t="s">
        <v>760</v>
      </c>
      <c r="B642">
        <v>634</v>
      </c>
      <c r="C642">
        <v>39</v>
      </c>
      <c r="D642">
        <v>5</v>
      </c>
      <c r="E642">
        <v>90</v>
      </c>
      <c r="F642">
        <v>72</v>
      </c>
      <c r="G642">
        <v>19</v>
      </c>
      <c r="H642">
        <v>26</v>
      </c>
      <c r="I642">
        <v>32</v>
      </c>
      <c r="J642" t="s">
        <v>1359</v>
      </c>
    </row>
    <row r="643" spans="1:10">
      <c r="A643" t="s">
        <v>761</v>
      </c>
      <c r="B643">
        <v>869</v>
      </c>
      <c r="C643">
        <v>39</v>
      </c>
      <c r="D643">
        <v>5</v>
      </c>
      <c r="E643">
        <v>91</v>
      </c>
      <c r="F643">
        <v>73</v>
      </c>
      <c r="G643">
        <v>24</v>
      </c>
      <c r="H643">
        <v>31</v>
      </c>
      <c r="I643">
        <v>37</v>
      </c>
      <c r="J643" t="s">
        <v>1359</v>
      </c>
    </row>
    <row r="644" spans="1:10">
      <c r="A644" t="s">
        <v>762</v>
      </c>
      <c r="B644">
        <v>975</v>
      </c>
      <c r="C644">
        <v>40</v>
      </c>
      <c r="D644">
        <v>4</v>
      </c>
      <c r="E644">
        <v>91</v>
      </c>
      <c r="F644">
        <v>73</v>
      </c>
      <c r="G644">
        <v>24</v>
      </c>
      <c r="H644">
        <v>31</v>
      </c>
      <c r="I644">
        <v>37</v>
      </c>
      <c r="J644" t="s">
        <v>1359</v>
      </c>
    </row>
    <row r="645" spans="1:10">
      <c r="A645" t="s">
        <v>763</v>
      </c>
      <c r="B645">
        <v>1295</v>
      </c>
      <c r="C645">
        <v>40</v>
      </c>
      <c r="D645">
        <v>4</v>
      </c>
      <c r="E645">
        <v>85</v>
      </c>
      <c r="F645">
        <v>72</v>
      </c>
      <c r="G645">
        <v>28</v>
      </c>
      <c r="H645">
        <v>35</v>
      </c>
      <c r="I645">
        <v>41</v>
      </c>
      <c r="J645" t="s">
        <v>1359</v>
      </c>
    </row>
    <row r="646" spans="1:10">
      <c r="A646" t="s">
        <v>764</v>
      </c>
      <c r="B646">
        <v>994</v>
      </c>
      <c r="C646">
        <v>40</v>
      </c>
      <c r="D646">
        <v>5</v>
      </c>
      <c r="E646">
        <v>91</v>
      </c>
      <c r="F646">
        <v>73</v>
      </c>
      <c r="G646">
        <v>24</v>
      </c>
      <c r="H646">
        <v>31</v>
      </c>
      <c r="I646">
        <v>37</v>
      </c>
      <c r="J646" t="s">
        <v>1359</v>
      </c>
    </row>
    <row r="647" spans="1:10">
      <c r="A647" t="s">
        <v>765</v>
      </c>
      <c r="B647">
        <v>651</v>
      </c>
      <c r="C647">
        <v>39</v>
      </c>
      <c r="D647">
        <v>5</v>
      </c>
      <c r="E647">
        <v>90</v>
      </c>
      <c r="F647">
        <v>72</v>
      </c>
      <c r="G647">
        <v>19</v>
      </c>
      <c r="H647">
        <v>26</v>
      </c>
      <c r="I647">
        <v>32</v>
      </c>
      <c r="J647" t="s">
        <v>1359</v>
      </c>
    </row>
    <row r="648" spans="1:10">
      <c r="A648" t="s">
        <v>766</v>
      </c>
      <c r="B648">
        <v>880</v>
      </c>
      <c r="C648">
        <v>40</v>
      </c>
      <c r="D648">
        <v>5</v>
      </c>
      <c r="E648">
        <v>92</v>
      </c>
      <c r="F648">
        <v>73</v>
      </c>
      <c r="G648">
        <v>22</v>
      </c>
      <c r="H648">
        <v>29</v>
      </c>
      <c r="I648">
        <v>35</v>
      </c>
      <c r="J648" t="s">
        <v>1359</v>
      </c>
    </row>
    <row r="649" spans="1:10">
      <c r="A649" t="s">
        <v>767</v>
      </c>
      <c r="B649">
        <v>852</v>
      </c>
      <c r="C649">
        <v>41</v>
      </c>
      <c r="D649">
        <v>1</v>
      </c>
      <c r="E649">
        <v>88</v>
      </c>
      <c r="F649">
        <v>73</v>
      </c>
      <c r="G649">
        <v>29</v>
      </c>
      <c r="H649">
        <v>36</v>
      </c>
      <c r="I649">
        <v>42</v>
      </c>
      <c r="J649" t="s">
        <v>1359</v>
      </c>
    </row>
    <row r="650" spans="1:10">
      <c r="A650" t="s">
        <v>768</v>
      </c>
      <c r="B650">
        <v>540</v>
      </c>
      <c r="C650">
        <v>38</v>
      </c>
      <c r="D650">
        <v>10</v>
      </c>
      <c r="E650">
        <v>92</v>
      </c>
      <c r="F650">
        <v>74</v>
      </c>
      <c r="G650">
        <v>28</v>
      </c>
      <c r="H650">
        <v>35</v>
      </c>
      <c r="I650">
        <v>41</v>
      </c>
      <c r="J650" t="s">
        <v>1359</v>
      </c>
    </row>
    <row r="651" spans="1:10">
      <c r="A651" t="s">
        <v>769</v>
      </c>
      <c r="B651">
        <v>580</v>
      </c>
      <c r="C651">
        <v>41</v>
      </c>
      <c r="D651">
        <v>6</v>
      </c>
      <c r="E651">
        <v>91</v>
      </c>
      <c r="F651">
        <v>72</v>
      </c>
      <c r="G651">
        <v>18</v>
      </c>
      <c r="H651">
        <v>25</v>
      </c>
      <c r="I651">
        <v>31</v>
      </c>
      <c r="J651" t="s">
        <v>1359</v>
      </c>
    </row>
    <row r="652" spans="1:10">
      <c r="A652" t="s">
        <v>770</v>
      </c>
      <c r="B652">
        <v>1052</v>
      </c>
      <c r="C652">
        <v>40</v>
      </c>
      <c r="D652">
        <v>3</v>
      </c>
      <c r="E652">
        <v>89</v>
      </c>
      <c r="F652">
        <v>73</v>
      </c>
      <c r="G652">
        <v>27</v>
      </c>
      <c r="H652">
        <v>34</v>
      </c>
      <c r="I652">
        <v>40</v>
      </c>
      <c r="J652" t="s">
        <v>1359</v>
      </c>
    </row>
    <row r="653" spans="1:10">
      <c r="A653" t="s">
        <v>771</v>
      </c>
      <c r="B653">
        <v>1194</v>
      </c>
      <c r="C653">
        <v>40</v>
      </c>
      <c r="D653">
        <v>5</v>
      </c>
      <c r="E653">
        <v>86</v>
      </c>
      <c r="F653">
        <v>71</v>
      </c>
      <c r="G653">
        <v>20</v>
      </c>
      <c r="H653">
        <v>27</v>
      </c>
      <c r="I653">
        <v>33</v>
      </c>
      <c r="J653" t="s">
        <v>1359</v>
      </c>
    </row>
    <row r="654" spans="1:10">
      <c r="A654" t="s">
        <v>772</v>
      </c>
      <c r="B654">
        <v>669</v>
      </c>
      <c r="C654">
        <v>41</v>
      </c>
      <c r="D654">
        <v>3</v>
      </c>
      <c r="E654">
        <v>87</v>
      </c>
      <c r="F654">
        <v>72</v>
      </c>
      <c r="G654">
        <v>24</v>
      </c>
      <c r="H654">
        <v>31</v>
      </c>
      <c r="I654">
        <v>37</v>
      </c>
      <c r="J654" t="s">
        <v>1359</v>
      </c>
    </row>
    <row r="655" spans="1:10">
      <c r="A655" t="s">
        <v>773</v>
      </c>
      <c r="B655">
        <v>905</v>
      </c>
      <c r="C655">
        <v>41</v>
      </c>
      <c r="D655">
        <v>5</v>
      </c>
      <c r="E655">
        <v>87</v>
      </c>
      <c r="F655">
        <v>71</v>
      </c>
      <c r="G655">
        <v>19</v>
      </c>
      <c r="H655">
        <v>26</v>
      </c>
      <c r="I655">
        <v>32</v>
      </c>
      <c r="J655" t="s">
        <v>1359</v>
      </c>
    </row>
    <row r="656" spans="1:10">
      <c r="A656" t="s">
        <v>774</v>
      </c>
      <c r="B656">
        <v>1136</v>
      </c>
      <c r="C656">
        <v>40</v>
      </c>
      <c r="D656">
        <v>6</v>
      </c>
      <c r="E656">
        <v>86</v>
      </c>
      <c r="F656">
        <v>71</v>
      </c>
      <c r="G656">
        <v>20</v>
      </c>
      <c r="H656">
        <v>27</v>
      </c>
      <c r="I656">
        <v>33</v>
      </c>
      <c r="J656" t="s">
        <v>1359</v>
      </c>
    </row>
    <row r="657" spans="1:13">
      <c r="A657" t="s">
        <v>775</v>
      </c>
      <c r="B657">
        <v>1178</v>
      </c>
      <c r="C657">
        <v>41</v>
      </c>
      <c r="D657">
        <v>4</v>
      </c>
      <c r="E657">
        <v>85</v>
      </c>
      <c r="F657">
        <v>70</v>
      </c>
      <c r="G657">
        <v>16</v>
      </c>
      <c r="H657">
        <v>23</v>
      </c>
      <c r="I657">
        <v>29</v>
      </c>
      <c r="J657" t="s">
        <v>1359</v>
      </c>
    </row>
    <row r="658" spans="1:13">
      <c r="A658" t="s">
        <v>776</v>
      </c>
      <c r="B658">
        <v>900</v>
      </c>
      <c r="C658">
        <v>40</v>
      </c>
      <c r="D658">
        <v>9</v>
      </c>
      <c r="E658">
        <v>88</v>
      </c>
      <c r="F658">
        <v>73</v>
      </c>
      <c r="G658">
        <v>29</v>
      </c>
      <c r="H658">
        <v>36</v>
      </c>
      <c r="I658">
        <v>42</v>
      </c>
      <c r="J658" t="s">
        <v>1359</v>
      </c>
    </row>
    <row r="659" spans="1:13">
      <c r="A659" t="s">
        <v>777</v>
      </c>
      <c r="B659">
        <v>1016</v>
      </c>
      <c r="C659">
        <v>34</v>
      </c>
      <c r="D659">
        <v>14</v>
      </c>
      <c r="E659">
        <v>97</v>
      </c>
      <c r="F659">
        <v>74</v>
      </c>
      <c r="G659">
        <v>20</v>
      </c>
      <c r="H659">
        <v>27</v>
      </c>
      <c r="I659">
        <v>33</v>
      </c>
      <c r="J659" t="s">
        <v>1359</v>
      </c>
    </row>
    <row r="660" spans="1:13">
      <c r="A660" t="s">
        <v>778</v>
      </c>
      <c r="B660">
        <v>1378</v>
      </c>
      <c r="C660">
        <v>34</v>
      </c>
      <c r="D660">
        <v>19</v>
      </c>
      <c r="E660">
        <v>100</v>
      </c>
      <c r="F660">
        <v>73</v>
      </c>
      <c r="G660">
        <v>9</v>
      </c>
      <c r="H660">
        <v>16</v>
      </c>
      <c r="I660">
        <v>22</v>
      </c>
      <c r="J660" t="s">
        <v>1359</v>
      </c>
    </row>
    <row r="661" spans="1:13">
      <c r="A661" t="s">
        <v>779</v>
      </c>
      <c r="B661">
        <v>844</v>
      </c>
      <c r="C661">
        <v>34</v>
      </c>
      <c r="D661">
        <v>17</v>
      </c>
      <c r="E661">
        <v>98</v>
      </c>
      <c r="F661">
        <v>74</v>
      </c>
      <c r="G661">
        <v>18</v>
      </c>
      <c r="H661">
        <v>25</v>
      </c>
      <c r="I661">
        <v>31</v>
      </c>
      <c r="J661" t="s">
        <v>1359</v>
      </c>
    </row>
    <row r="662" spans="1:13">
      <c r="A662" t="s">
        <v>780</v>
      </c>
      <c r="B662">
        <v>713</v>
      </c>
      <c r="C662">
        <v>36</v>
      </c>
      <c r="D662">
        <v>10</v>
      </c>
      <c r="E662">
        <v>98</v>
      </c>
      <c r="F662">
        <v>74</v>
      </c>
      <c r="G662">
        <v>18</v>
      </c>
      <c r="H662">
        <v>25</v>
      </c>
      <c r="I662">
        <v>31</v>
      </c>
      <c r="J662" t="s">
        <v>1359</v>
      </c>
    </row>
    <row r="663" spans="1:13">
      <c r="A663" t="s">
        <v>781</v>
      </c>
      <c r="B663">
        <v>1150</v>
      </c>
      <c r="C663">
        <v>35</v>
      </c>
      <c r="D663">
        <v>14</v>
      </c>
      <c r="E663">
        <v>98</v>
      </c>
      <c r="F663">
        <v>74</v>
      </c>
      <c r="G663">
        <v>18</v>
      </c>
      <c r="H663">
        <v>25</v>
      </c>
      <c r="I663">
        <v>31</v>
      </c>
      <c r="J663" t="s">
        <v>1359</v>
      </c>
    </row>
    <row r="664" spans="1:13">
      <c r="A664" t="s">
        <v>782</v>
      </c>
      <c r="B664">
        <v>1307</v>
      </c>
      <c r="C664">
        <v>36</v>
      </c>
      <c r="D664">
        <v>12</v>
      </c>
      <c r="E664">
        <v>98</v>
      </c>
      <c r="F664">
        <v>74</v>
      </c>
      <c r="G664">
        <v>18</v>
      </c>
      <c r="H664">
        <v>25</v>
      </c>
      <c r="I664">
        <v>31</v>
      </c>
      <c r="J664" t="s">
        <v>1359</v>
      </c>
    </row>
    <row r="665" spans="1:13">
      <c r="A665" t="s">
        <v>783</v>
      </c>
      <c r="B665">
        <v>1188</v>
      </c>
      <c r="C665">
        <v>34</v>
      </c>
      <c r="D665">
        <v>19</v>
      </c>
      <c r="E665">
        <v>97</v>
      </c>
      <c r="F665">
        <v>73</v>
      </c>
      <c r="G665">
        <v>14</v>
      </c>
      <c r="H665">
        <v>21</v>
      </c>
      <c r="I665">
        <v>27</v>
      </c>
      <c r="J665" t="s">
        <v>1359</v>
      </c>
    </row>
    <row r="666" spans="1:13">
      <c r="A666" t="s">
        <v>784</v>
      </c>
      <c r="B666">
        <v>776</v>
      </c>
      <c r="C666">
        <v>34</v>
      </c>
      <c r="D666">
        <v>17</v>
      </c>
      <c r="E666">
        <v>96</v>
      </c>
      <c r="F666">
        <v>76</v>
      </c>
      <c r="G666">
        <v>34</v>
      </c>
      <c r="H666">
        <v>41</v>
      </c>
      <c r="I666">
        <v>47</v>
      </c>
      <c r="J666" t="s">
        <v>1359</v>
      </c>
    </row>
    <row r="667" spans="1:13">
      <c r="A667" t="s">
        <v>785</v>
      </c>
      <c r="B667">
        <v>610</v>
      </c>
      <c r="C667">
        <v>35</v>
      </c>
      <c r="D667">
        <v>15</v>
      </c>
      <c r="E667">
        <v>98</v>
      </c>
      <c r="F667">
        <v>75</v>
      </c>
      <c r="G667">
        <v>25</v>
      </c>
      <c r="H667">
        <v>32</v>
      </c>
      <c r="I667">
        <v>38</v>
      </c>
      <c r="J667" t="s">
        <v>1359</v>
      </c>
    </row>
    <row r="668" spans="1:13">
      <c r="A668" t="s">
        <v>2774</v>
      </c>
      <c r="B668">
        <v>1181</v>
      </c>
      <c r="C668">
        <v>35</v>
      </c>
      <c r="D668">
        <v>13</v>
      </c>
      <c r="E668">
        <v>96</v>
      </c>
      <c r="F668">
        <v>74</v>
      </c>
      <c r="G668">
        <v>22</v>
      </c>
      <c r="H668">
        <v>29</v>
      </c>
      <c r="I668">
        <v>35</v>
      </c>
      <c r="J668" t="s">
        <v>1359</v>
      </c>
      <c r="L668"/>
      <c r="M668" s="190"/>
    </row>
    <row r="669" spans="1:13">
      <c r="A669" t="s">
        <v>786</v>
      </c>
      <c r="B669">
        <v>1262</v>
      </c>
      <c r="C669">
        <v>35</v>
      </c>
      <c r="D669">
        <v>17</v>
      </c>
      <c r="E669">
        <v>96</v>
      </c>
      <c r="F669">
        <v>75</v>
      </c>
      <c r="G669">
        <v>28</v>
      </c>
      <c r="H669">
        <v>35</v>
      </c>
      <c r="I669">
        <v>41</v>
      </c>
      <c r="J669" t="s">
        <v>1359</v>
      </c>
    </row>
    <row r="670" spans="1:13">
      <c r="A670" t="s">
        <v>787</v>
      </c>
      <c r="B670">
        <v>1285</v>
      </c>
      <c r="C670">
        <v>35</v>
      </c>
      <c r="D670">
        <v>15</v>
      </c>
      <c r="E670">
        <v>96</v>
      </c>
      <c r="F670">
        <v>74</v>
      </c>
      <c r="G670">
        <v>22</v>
      </c>
      <c r="H670">
        <v>29</v>
      </c>
      <c r="I670">
        <v>35</v>
      </c>
      <c r="J670" t="s">
        <v>1359</v>
      </c>
    </row>
    <row r="671" spans="1:13">
      <c r="A671" t="s">
        <v>788</v>
      </c>
      <c r="B671">
        <v>1007</v>
      </c>
      <c r="C671">
        <v>36</v>
      </c>
      <c r="D671">
        <v>9</v>
      </c>
      <c r="E671">
        <v>97</v>
      </c>
      <c r="F671">
        <v>74</v>
      </c>
      <c r="G671">
        <v>20</v>
      </c>
      <c r="H671">
        <v>27</v>
      </c>
      <c r="I671">
        <v>33</v>
      </c>
      <c r="J671" t="s">
        <v>1359</v>
      </c>
    </row>
    <row r="672" spans="1:13">
      <c r="A672" t="s">
        <v>789</v>
      </c>
      <c r="B672">
        <v>1021</v>
      </c>
      <c r="C672">
        <v>35</v>
      </c>
      <c r="D672">
        <v>15</v>
      </c>
      <c r="E672">
        <v>96</v>
      </c>
      <c r="F672">
        <v>74</v>
      </c>
      <c r="G672">
        <v>22</v>
      </c>
      <c r="H672">
        <v>29</v>
      </c>
      <c r="I672">
        <v>41</v>
      </c>
      <c r="J672" t="s">
        <v>1359</v>
      </c>
    </row>
    <row r="673" spans="1:10">
      <c r="A673" t="s">
        <v>790</v>
      </c>
      <c r="B673">
        <v>984</v>
      </c>
      <c r="C673">
        <v>36</v>
      </c>
      <c r="D673">
        <v>13</v>
      </c>
      <c r="E673">
        <v>96</v>
      </c>
      <c r="F673">
        <v>74</v>
      </c>
      <c r="G673">
        <v>22</v>
      </c>
      <c r="H673">
        <v>29</v>
      </c>
      <c r="I673">
        <v>41</v>
      </c>
      <c r="J673" t="s">
        <v>1359</v>
      </c>
    </row>
    <row r="674" spans="1:10">
      <c r="A674" t="s">
        <v>791</v>
      </c>
      <c r="B674">
        <v>650</v>
      </c>
      <c r="C674">
        <v>36</v>
      </c>
      <c r="D674">
        <v>14</v>
      </c>
      <c r="E674">
        <v>97</v>
      </c>
      <c r="F674">
        <v>76</v>
      </c>
      <c r="G674">
        <v>33</v>
      </c>
      <c r="H674">
        <v>40</v>
      </c>
      <c r="I674">
        <v>46</v>
      </c>
      <c r="J674" t="s">
        <v>1359</v>
      </c>
    </row>
    <row r="675" spans="1:10">
      <c r="A675" t="s">
        <v>792</v>
      </c>
      <c r="B675">
        <v>2188</v>
      </c>
      <c r="C675">
        <v>36</v>
      </c>
      <c r="D675">
        <v>10</v>
      </c>
      <c r="E675">
        <v>97</v>
      </c>
      <c r="F675">
        <v>73</v>
      </c>
      <c r="G675">
        <v>14</v>
      </c>
      <c r="H675">
        <v>21</v>
      </c>
      <c r="I675">
        <v>27</v>
      </c>
      <c r="J675" t="s">
        <v>1033</v>
      </c>
    </row>
    <row r="676" spans="1:10">
      <c r="A676" t="s">
        <v>793</v>
      </c>
      <c r="B676">
        <v>223</v>
      </c>
      <c r="C676">
        <v>44</v>
      </c>
      <c r="D676">
        <v>22</v>
      </c>
      <c r="E676">
        <v>89</v>
      </c>
      <c r="F676">
        <v>66</v>
      </c>
      <c r="G676">
        <v>-12</v>
      </c>
      <c r="H676">
        <v>-5</v>
      </c>
      <c r="I676">
        <v>1</v>
      </c>
      <c r="J676" t="s">
        <v>1033</v>
      </c>
    </row>
    <row r="677" spans="1:10">
      <c r="A677" t="s">
        <v>794</v>
      </c>
      <c r="B677">
        <v>8</v>
      </c>
      <c r="C677">
        <v>46</v>
      </c>
      <c r="D677">
        <v>29</v>
      </c>
      <c r="E677">
        <v>72</v>
      </c>
      <c r="F677">
        <v>63</v>
      </c>
      <c r="G677">
        <v>0</v>
      </c>
      <c r="H677">
        <v>-7</v>
      </c>
      <c r="I677">
        <v>-13</v>
      </c>
      <c r="J677" t="s">
        <v>1359</v>
      </c>
    </row>
    <row r="678" spans="1:10">
      <c r="A678" t="s">
        <v>795</v>
      </c>
      <c r="B678">
        <v>3369</v>
      </c>
      <c r="C678">
        <v>44</v>
      </c>
      <c r="D678">
        <v>6</v>
      </c>
      <c r="E678">
        <v>89</v>
      </c>
      <c r="F678">
        <v>61</v>
      </c>
      <c r="G678">
        <v>-35</v>
      </c>
      <c r="H678">
        <v>-28</v>
      </c>
      <c r="I678">
        <v>-22</v>
      </c>
      <c r="J678" t="s">
        <v>1033</v>
      </c>
    </row>
    <row r="679" spans="1:10">
      <c r="A679" t="s">
        <v>796</v>
      </c>
      <c r="B679">
        <v>3453</v>
      </c>
      <c r="C679">
        <v>44</v>
      </c>
      <c r="D679">
        <v>4</v>
      </c>
      <c r="E679">
        <v>87</v>
      </c>
      <c r="F679">
        <v>60</v>
      </c>
      <c r="G679">
        <v>-36</v>
      </c>
      <c r="H679">
        <v>-29</v>
      </c>
      <c r="I679">
        <v>-23</v>
      </c>
      <c r="J679" t="s">
        <v>1033</v>
      </c>
    </row>
    <row r="680" spans="1:10">
      <c r="A680" t="s">
        <v>797</v>
      </c>
      <c r="B680">
        <v>246</v>
      </c>
      <c r="C680">
        <v>44</v>
      </c>
      <c r="D680">
        <v>22</v>
      </c>
      <c r="E680">
        <v>89</v>
      </c>
      <c r="F680">
        <v>66</v>
      </c>
      <c r="G680">
        <v>-12</v>
      </c>
      <c r="H680">
        <v>-5</v>
      </c>
      <c r="I680">
        <v>1</v>
      </c>
      <c r="J680" t="s">
        <v>1033</v>
      </c>
    </row>
    <row r="681" spans="1:10">
      <c r="A681" t="s">
        <v>798</v>
      </c>
      <c r="B681">
        <v>359</v>
      </c>
      <c r="C681">
        <v>44</v>
      </c>
      <c r="D681">
        <v>26</v>
      </c>
      <c r="E681">
        <v>87</v>
      </c>
      <c r="F681">
        <v>65</v>
      </c>
      <c r="G681">
        <v>-14</v>
      </c>
      <c r="H681">
        <v>-7</v>
      </c>
      <c r="I681">
        <v>-1</v>
      </c>
      <c r="J681" t="s">
        <v>1033</v>
      </c>
    </row>
    <row r="682" spans="1:10">
      <c r="A682" t="s">
        <v>799</v>
      </c>
      <c r="B682">
        <v>925</v>
      </c>
      <c r="C682">
        <v>42</v>
      </c>
      <c r="D682">
        <v>24</v>
      </c>
      <c r="E682">
        <v>96</v>
      </c>
      <c r="F682">
        <v>68</v>
      </c>
      <c r="G682">
        <v>-12</v>
      </c>
      <c r="H682">
        <v>-5</v>
      </c>
      <c r="I682">
        <v>1</v>
      </c>
      <c r="J682" t="s">
        <v>1033</v>
      </c>
    </row>
    <row r="683" spans="1:10">
      <c r="A683" t="s">
        <v>800</v>
      </c>
      <c r="B683">
        <v>203</v>
      </c>
      <c r="C683">
        <v>45</v>
      </c>
      <c r="D683">
        <v>24</v>
      </c>
      <c r="E683">
        <v>88</v>
      </c>
      <c r="F683">
        <v>67</v>
      </c>
      <c r="G683">
        <v>-5</v>
      </c>
      <c r="H683">
        <v>2</v>
      </c>
      <c r="I683">
        <v>8</v>
      </c>
      <c r="J683" t="s">
        <v>1033</v>
      </c>
    </row>
    <row r="684" spans="1:10">
      <c r="A684" t="s">
        <v>801</v>
      </c>
      <c r="B684">
        <v>4092</v>
      </c>
      <c r="C684">
        <v>42</v>
      </c>
      <c r="D684">
        <v>10</v>
      </c>
      <c r="E684">
        <v>87</v>
      </c>
      <c r="F684">
        <v>62</v>
      </c>
      <c r="G684">
        <v>-26</v>
      </c>
      <c r="H684">
        <v>-19</v>
      </c>
      <c r="I684">
        <v>-13</v>
      </c>
      <c r="J684" t="s">
        <v>1033</v>
      </c>
    </row>
    <row r="685" spans="1:10">
      <c r="A685" t="s">
        <v>802</v>
      </c>
      <c r="B685">
        <v>4055</v>
      </c>
      <c r="C685">
        <v>45</v>
      </c>
      <c r="D685">
        <v>0</v>
      </c>
      <c r="E685">
        <v>84</v>
      </c>
      <c r="F685">
        <v>58</v>
      </c>
      <c r="G685">
        <v>-41</v>
      </c>
      <c r="H685">
        <v>-34</v>
      </c>
      <c r="I685">
        <v>-28</v>
      </c>
      <c r="J685" t="s">
        <v>1033</v>
      </c>
    </row>
    <row r="686" spans="1:10">
      <c r="A686" t="s">
        <v>803</v>
      </c>
      <c r="B686">
        <v>1298</v>
      </c>
      <c r="C686">
        <v>42</v>
      </c>
      <c r="D686">
        <v>24</v>
      </c>
      <c r="E686">
        <v>95</v>
      </c>
      <c r="F686">
        <v>66</v>
      </c>
      <c r="G686">
        <v>-21</v>
      </c>
      <c r="H686">
        <v>-14</v>
      </c>
      <c r="I686">
        <v>-8</v>
      </c>
      <c r="J686" t="s">
        <v>1033</v>
      </c>
    </row>
    <row r="687" spans="1:10">
      <c r="A687" t="s">
        <v>804</v>
      </c>
      <c r="B687">
        <v>748</v>
      </c>
      <c r="C687">
        <v>43</v>
      </c>
      <c r="D687">
        <v>32</v>
      </c>
      <c r="E687">
        <v>69</v>
      </c>
      <c r="F687">
        <v>60</v>
      </c>
      <c r="G687">
        <v>-8</v>
      </c>
      <c r="H687">
        <v>-1</v>
      </c>
      <c r="I687">
        <v>5</v>
      </c>
      <c r="J687" t="s">
        <v>1359</v>
      </c>
    </row>
    <row r="688" spans="1:10">
      <c r="A688" t="s">
        <v>805</v>
      </c>
      <c r="B688">
        <v>1482</v>
      </c>
      <c r="C688">
        <v>45</v>
      </c>
      <c r="D688">
        <v>11</v>
      </c>
      <c r="E688">
        <v>93</v>
      </c>
      <c r="F688">
        <v>63</v>
      </c>
      <c r="G688">
        <v>-33</v>
      </c>
      <c r="H688">
        <v>-26</v>
      </c>
      <c r="I688">
        <v>-20</v>
      </c>
      <c r="J688" t="s">
        <v>1033</v>
      </c>
    </row>
    <row r="689" spans="1:10">
      <c r="A689" t="s">
        <v>806</v>
      </c>
      <c r="B689">
        <v>30</v>
      </c>
      <c r="C689">
        <v>45</v>
      </c>
      <c r="D689">
        <v>27</v>
      </c>
      <c r="E689">
        <v>86</v>
      </c>
      <c r="F689">
        <v>66</v>
      </c>
      <c r="G689">
        <v>-7</v>
      </c>
      <c r="H689">
        <v>0</v>
      </c>
      <c r="I689">
        <v>6</v>
      </c>
      <c r="J689" t="s">
        <v>1359</v>
      </c>
    </row>
    <row r="690" spans="1:10">
      <c r="A690" t="s">
        <v>807</v>
      </c>
      <c r="B690">
        <v>35</v>
      </c>
      <c r="C690">
        <v>45</v>
      </c>
      <c r="D690">
        <v>24</v>
      </c>
      <c r="E690">
        <v>86</v>
      </c>
      <c r="F690">
        <v>67</v>
      </c>
      <c r="G690">
        <v>-2</v>
      </c>
      <c r="H690">
        <v>5</v>
      </c>
      <c r="I690">
        <v>11</v>
      </c>
      <c r="J690" t="s">
        <v>1359</v>
      </c>
    </row>
    <row r="691" spans="1:10">
      <c r="A691" t="s">
        <v>808</v>
      </c>
      <c r="B691">
        <v>3084</v>
      </c>
      <c r="C691">
        <v>44</v>
      </c>
      <c r="D691">
        <v>9</v>
      </c>
      <c r="E691">
        <v>89</v>
      </c>
      <c r="F691">
        <v>61</v>
      </c>
      <c r="G691">
        <v>-35</v>
      </c>
      <c r="H691">
        <v>-28</v>
      </c>
      <c r="I691">
        <v>-22</v>
      </c>
      <c r="J691" t="s">
        <v>1033</v>
      </c>
    </row>
    <row r="692" spans="1:10">
      <c r="A692" t="s">
        <v>809</v>
      </c>
      <c r="B692">
        <v>525</v>
      </c>
      <c r="C692">
        <v>43</v>
      </c>
      <c r="D692">
        <v>23</v>
      </c>
      <c r="E692">
        <v>90</v>
      </c>
      <c r="F692">
        <v>66</v>
      </c>
      <c r="G692">
        <v>-13</v>
      </c>
      <c r="H692">
        <v>-6</v>
      </c>
      <c r="I692">
        <v>0</v>
      </c>
      <c r="J692" t="s">
        <v>1033</v>
      </c>
    </row>
    <row r="693" spans="1:10">
      <c r="A693" t="s">
        <v>810</v>
      </c>
      <c r="B693">
        <v>196</v>
      </c>
      <c r="C693">
        <v>45</v>
      </c>
      <c r="D693">
        <v>25</v>
      </c>
      <c r="E693">
        <v>87</v>
      </c>
      <c r="F693">
        <v>66</v>
      </c>
      <c r="G693">
        <v>-8</v>
      </c>
      <c r="H693">
        <v>-1</v>
      </c>
      <c r="I693">
        <v>5</v>
      </c>
      <c r="J693" t="s">
        <v>1033</v>
      </c>
    </row>
    <row r="694" spans="1:10">
      <c r="A694" t="s">
        <v>811</v>
      </c>
      <c r="B694">
        <v>3842</v>
      </c>
      <c r="C694">
        <v>42</v>
      </c>
      <c r="D694">
        <v>24</v>
      </c>
      <c r="E694">
        <v>80</v>
      </c>
      <c r="F694">
        <v>59</v>
      </c>
      <c r="G694">
        <v>-30</v>
      </c>
      <c r="H694">
        <v>-23</v>
      </c>
      <c r="I694">
        <v>-17</v>
      </c>
      <c r="J694" t="s">
        <v>1359</v>
      </c>
    </row>
    <row r="695" spans="1:10">
      <c r="A695" t="s">
        <v>812</v>
      </c>
      <c r="B695">
        <v>243</v>
      </c>
      <c r="C695">
        <v>45</v>
      </c>
      <c r="D695">
        <v>19</v>
      </c>
      <c r="E695">
        <v>89</v>
      </c>
      <c r="F695">
        <v>68</v>
      </c>
      <c r="G695">
        <v>-1</v>
      </c>
      <c r="H695">
        <v>6</v>
      </c>
      <c r="I695">
        <v>12</v>
      </c>
      <c r="J695" t="s">
        <v>1033</v>
      </c>
    </row>
    <row r="696" spans="1:10">
      <c r="A696" t="s">
        <v>813</v>
      </c>
      <c r="B696">
        <v>387</v>
      </c>
      <c r="C696">
        <v>40</v>
      </c>
      <c r="D696">
        <v>10</v>
      </c>
      <c r="E696">
        <v>88</v>
      </c>
      <c r="F696">
        <v>72</v>
      </c>
      <c r="G696">
        <v>23</v>
      </c>
      <c r="H696">
        <v>30</v>
      </c>
      <c r="I696">
        <v>36</v>
      </c>
      <c r="J696" t="s">
        <v>1359</v>
      </c>
    </row>
    <row r="697" spans="1:10">
      <c r="A697" t="s">
        <v>814</v>
      </c>
      <c r="B697">
        <v>1504</v>
      </c>
      <c r="C697">
        <v>40</v>
      </c>
      <c r="D697">
        <v>10</v>
      </c>
      <c r="E697">
        <v>86</v>
      </c>
      <c r="F697">
        <v>70</v>
      </c>
      <c r="G697">
        <v>14</v>
      </c>
      <c r="H697">
        <v>21</v>
      </c>
      <c r="I697">
        <v>27</v>
      </c>
      <c r="J697" t="s">
        <v>1359</v>
      </c>
    </row>
    <row r="698" spans="1:10">
      <c r="A698" t="s">
        <v>815</v>
      </c>
      <c r="B698">
        <v>2142</v>
      </c>
      <c r="C698">
        <v>41</v>
      </c>
      <c r="D698">
        <v>-1</v>
      </c>
      <c r="E698">
        <v>80</v>
      </c>
      <c r="F698">
        <v>68</v>
      </c>
      <c r="G698">
        <v>13</v>
      </c>
      <c r="H698">
        <v>20</v>
      </c>
      <c r="I698">
        <v>26</v>
      </c>
      <c r="J698" t="s">
        <v>1359</v>
      </c>
    </row>
    <row r="699" spans="1:10">
      <c r="A699" t="s">
        <v>816</v>
      </c>
      <c r="B699">
        <v>1248</v>
      </c>
      <c r="C699">
        <v>40</v>
      </c>
      <c r="D699">
        <v>6</v>
      </c>
      <c r="E699">
        <v>87</v>
      </c>
      <c r="F699">
        <v>72</v>
      </c>
      <c r="G699">
        <v>24</v>
      </c>
      <c r="H699">
        <v>31</v>
      </c>
      <c r="I699">
        <v>37</v>
      </c>
      <c r="J699" t="s">
        <v>1359</v>
      </c>
    </row>
    <row r="700" spans="1:10">
      <c r="A700" t="s">
        <v>817</v>
      </c>
      <c r="B700">
        <v>697</v>
      </c>
      <c r="C700">
        <v>40</v>
      </c>
      <c r="D700">
        <v>8</v>
      </c>
      <c r="E700">
        <v>90</v>
      </c>
      <c r="F700">
        <v>74</v>
      </c>
      <c r="G700">
        <v>31</v>
      </c>
      <c r="H700">
        <v>38</v>
      </c>
      <c r="I700">
        <v>44</v>
      </c>
      <c r="J700" t="s">
        <v>1359</v>
      </c>
    </row>
    <row r="701" spans="1:10">
      <c r="A701" t="s">
        <v>818</v>
      </c>
      <c r="B701">
        <v>1818</v>
      </c>
      <c r="C701">
        <v>41</v>
      </c>
      <c r="D701">
        <v>5</v>
      </c>
      <c r="E701">
        <v>84</v>
      </c>
      <c r="F701">
        <v>69</v>
      </c>
      <c r="G701">
        <v>12</v>
      </c>
      <c r="H701">
        <v>19</v>
      </c>
      <c r="I701">
        <v>25</v>
      </c>
      <c r="J701" t="s">
        <v>1359</v>
      </c>
    </row>
    <row r="702" spans="1:10">
      <c r="A702" t="s">
        <v>819</v>
      </c>
      <c r="B702">
        <v>731</v>
      </c>
      <c r="C702">
        <v>42</v>
      </c>
      <c r="D702">
        <v>7</v>
      </c>
      <c r="E702">
        <v>83</v>
      </c>
      <c r="F702">
        <v>70</v>
      </c>
      <c r="G702">
        <v>19</v>
      </c>
      <c r="H702">
        <v>26</v>
      </c>
      <c r="I702">
        <v>32</v>
      </c>
      <c r="J702" t="s">
        <v>1359</v>
      </c>
    </row>
    <row r="703" spans="1:10">
      <c r="A703" t="s">
        <v>820</v>
      </c>
      <c r="B703">
        <v>308</v>
      </c>
      <c r="C703">
        <v>40</v>
      </c>
      <c r="D703">
        <v>13</v>
      </c>
      <c r="E703">
        <v>89</v>
      </c>
      <c r="F703">
        <v>73</v>
      </c>
      <c r="G703">
        <v>27</v>
      </c>
      <c r="H703">
        <v>34</v>
      </c>
      <c r="I703">
        <v>40</v>
      </c>
      <c r="J703" t="s">
        <v>1359</v>
      </c>
    </row>
    <row r="704" spans="1:10">
      <c r="A704" t="s">
        <v>821</v>
      </c>
      <c r="B704">
        <v>2284</v>
      </c>
      <c r="C704">
        <v>40</v>
      </c>
      <c r="D704">
        <v>2</v>
      </c>
      <c r="E704">
        <v>83</v>
      </c>
      <c r="F704">
        <v>70</v>
      </c>
      <c r="G704">
        <v>19</v>
      </c>
      <c r="H704">
        <v>26</v>
      </c>
      <c r="I704">
        <v>32</v>
      </c>
      <c r="J704" t="s">
        <v>1359</v>
      </c>
    </row>
    <row r="705" spans="1:10">
      <c r="A705" t="s">
        <v>822</v>
      </c>
      <c r="B705">
        <v>403</v>
      </c>
      <c r="C705">
        <v>40</v>
      </c>
      <c r="D705">
        <v>8</v>
      </c>
      <c r="E705">
        <v>90</v>
      </c>
      <c r="F705">
        <v>74</v>
      </c>
      <c r="G705">
        <v>31</v>
      </c>
      <c r="H705">
        <v>38</v>
      </c>
      <c r="I705">
        <v>44</v>
      </c>
      <c r="J705" t="s">
        <v>1359</v>
      </c>
    </row>
    <row r="706" spans="1:10">
      <c r="A706" t="s">
        <v>823</v>
      </c>
      <c r="B706">
        <v>1400</v>
      </c>
      <c r="C706">
        <v>41</v>
      </c>
      <c r="D706">
        <v>4</v>
      </c>
      <c r="E706">
        <v>85</v>
      </c>
      <c r="F706">
        <v>70</v>
      </c>
      <c r="G706">
        <v>16</v>
      </c>
      <c r="H706">
        <v>23</v>
      </c>
      <c r="I706">
        <v>29</v>
      </c>
      <c r="J706" t="s">
        <v>1359</v>
      </c>
    </row>
    <row r="707" spans="1:10">
      <c r="A707" t="s">
        <v>824</v>
      </c>
      <c r="B707">
        <v>825</v>
      </c>
      <c r="C707">
        <v>41</v>
      </c>
      <c r="D707">
        <v>7</v>
      </c>
      <c r="E707">
        <v>88</v>
      </c>
      <c r="F707">
        <v>72</v>
      </c>
      <c r="G707">
        <v>23</v>
      </c>
      <c r="H707">
        <v>30</v>
      </c>
      <c r="I707">
        <v>36</v>
      </c>
      <c r="J707" t="s">
        <v>1359</v>
      </c>
    </row>
    <row r="708" spans="1:10">
      <c r="A708" t="s">
        <v>825</v>
      </c>
      <c r="B708">
        <v>5</v>
      </c>
      <c r="C708">
        <v>39</v>
      </c>
      <c r="D708">
        <v>15</v>
      </c>
      <c r="E708">
        <v>89</v>
      </c>
      <c r="F708">
        <v>74</v>
      </c>
      <c r="G708">
        <v>33</v>
      </c>
      <c r="H708">
        <v>40</v>
      </c>
      <c r="I708">
        <v>46</v>
      </c>
      <c r="J708" t="s">
        <v>1359</v>
      </c>
    </row>
    <row r="709" spans="1:10">
      <c r="A709" t="s">
        <v>826</v>
      </c>
      <c r="B709">
        <v>121</v>
      </c>
      <c r="C709">
        <v>40</v>
      </c>
      <c r="D709">
        <v>15</v>
      </c>
      <c r="E709">
        <v>90</v>
      </c>
      <c r="F709">
        <v>74</v>
      </c>
      <c r="G709">
        <v>31</v>
      </c>
      <c r="H709">
        <v>38</v>
      </c>
      <c r="I709">
        <v>44</v>
      </c>
      <c r="J709" t="s">
        <v>1359</v>
      </c>
    </row>
    <row r="710" spans="1:10">
      <c r="A710" t="s">
        <v>827</v>
      </c>
      <c r="B710">
        <v>361</v>
      </c>
      <c r="C710">
        <v>40</v>
      </c>
      <c r="D710">
        <v>14</v>
      </c>
      <c r="E710">
        <v>90</v>
      </c>
      <c r="F710">
        <v>74</v>
      </c>
      <c r="G710">
        <v>31</v>
      </c>
      <c r="H710">
        <v>38</v>
      </c>
      <c r="I710">
        <v>44</v>
      </c>
      <c r="J710" t="s">
        <v>1359</v>
      </c>
    </row>
    <row r="711" spans="1:10">
      <c r="A711" t="s">
        <v>828</v>
      </c>
      <c r="B711">
        <v>1137</v>
      </c>
      <c r="C711">
        <v>40</v>
      </c>
      <c r="D711">
        <v>7</v>
      </c>
      <c r="E711">
        <v>86</v>
      </c>
      <c r="F711">
        <v>70</v>
      </c>
      <c r="G711">
        <v>14</v>
      </c>
      <c r="H711">
        <v>21</v>
      </c>
      <c r="I711">
        <v>27</v>
      </c>
      <c r="J711" t="s">
        <v>1359</v>
      </c>
    </row>
    <row r="712" spans="1:10">
      <c r="A712" t="s">
        <v>829</v>
      </c>
      <c r="B712">
        <v>1353</v>
      </c>
      <c r="C712">
        <v>40</v>
      </c>
      <c r="D712">
        <v>7</v>
      </c>
      <c r="E712">
        <v>88</v>
      </c>
      <c r="F712">
        <v>71</v>
      </c>
      <c r="G712">
        <v>17</v>
      </c>
      <c r="H712">
        <v>24</v>
      </c>
      <c r="I712">
        <v>30</v>
      </c>
      <c r="J712" t="s">
        <v>1359</v>
      </c>
    </row>
    <row r="713" spans="1:10">
      <c r="A713" t="s">
        <v>830</v>
      </c>
      <c r="B713">
        <v>266</v>
      </c>
      <c r="C713">
        <v>40</v>
      </c>
      <c r="D713">
        <v>13</v>
      </c>
      <c r="E713">
        <v>89</v>
      </c>
      <c r="F713">
        <v>72</v>
      </c>
      <c r="G713">
        <v>210</v>
      </c>
      <c r="H713">
        <v>28</v>
      </c>
      <c r="I713">
        <v>34</v>
      </c>
      <c r="J713" t="s">
        <v>1359</v>
      </c>
    </row>
    <row r="714" spans="1:10">
      <c r="A714" t="s">
        <v>831</v>
      </c>
      <c r="B714">
        <v>930</v>
      </c>
      <c r="C714">
        <v>41</v>
      </c>
      <c r="D714">
        <v>7</v>
      </c>
      <c r="E714">
        <v>85</v>
      </c>
      <c r="F714">
        <v>70</v>
      </c>
      <c r="G714">
        <v>16</v>
      </c>
      <c r="H714">
        <v>20</v>
      </c>
      <c r="I714">
        <v>26</v>
      </c>
      <c r="J714" t="s">
        <v>1359</v>
      </c>
    </row>
    <row r="715" spans="1:10">
      <c r="A715" t="s">
        <v>832</v>
      </c>
      <c r="B715">
        <v>1239</v>
      </c>
      <c r="C715">
        <v>40</v>
      </c>
      <c r="D715">
        <v>7</v>
      </c>
      <c r="E715">
        <v>87</v>
      </c>
      <c r="F715">
        <v>71</v>
      </c>
      <c r="G715">
        <v>19</v>
      </c>
      <c r="H715">
        <v>26</v>
      </c>
      <c r="I715">
        <v>32</v>
      </c>
      <c r="J715" t="s">
        <v>1359</v>
      </c>
    </row>
    <row r="716" spans="1:10">
      <c r="A716" t="s">
        <v>833</v>
      </c>
      <c r="B716">
        <v>430</v>
      </c>
      <c r="C716">
        <v>40</v>
      </c>
      <c r="D716">
        <v>7</v>
      </c>
      <c r="E716">
        <v>89</v>
      </c>
      <c r="F716">
        <v>72</v>
      </c>
      <c r="G716">
        <v>21</v>
      </c>
      <c r="H716">
        <v>28</v>
      </c>
      <c r="I716">
        <v>34</v>
      </c>
      <c r="J716" t="s">
        <v>1359</v>
      </c>
    </row>
    <row r="717" spans="1:10">
      <c r="A717" t="s">
        <v>834</v>
      </c>
      <c r="B717">
        <v>815</v>
      </c>
      <c r="C717">
        <v>39</v>
      </c>
      <c r="D717">
        <v>9</v>
      </c>
      <c r="E717">
        <v>88</v>
      </c>
      <c r="F717">
        <v>73</v>
      </c>
      <c r="G717">
        <v>29</v>
      </c>
      <c r="H717">
        <v>36</v>
      </c>
      <c r="I717">
        <v>42</v>
      </c>
      <c r="J717" t="s">
        <v>1359</v>
      </c>
    </row>
    <row r="718" spans="1:10">
      <c r="A718" t="s">
        <v>835</v>
      </c>
      <c r="B718">
        <v>1193</v>
      </c>
      <c r="C718">
        <v>41</v>
      </c>
      <c r="D718">
        <v>4</v>
      </c>
      <c r="E718">
        <v>86</v>
      </c>
      <c r="F718">
        <v>71</v>
      </c>
      <c r="G718">
        <v>20</v>
      </c>
      <c r="H718">
        <v>27</v>
      </c>
      <c r="I718">
        <v>33</v>
      </c>
      <c r="J718" t="s">
        <v>1359</v>
      </c>
    </row>
    <row r="719" spans="1:10">
      <c r="A719" t="s">
        <v>836</v>
      </c>
      <c r="B719">
        <v>466</v>
      </c>
      <c r="C719">
        <v>40</v>
      </c>
      <c r="D719">
        <v>13</v>
      </c>
      <c r="E719">
        <v>89</v>
      </c>
      <c r="F719">
        <v>74</v>
      </c>
      <c r="G719">
        <v>33</v>
      </c>
      <c r="H719">
        <v>40</v>
      </c>
      <c r="I719">
        <v>46</v>
      </c>
      <c r="J719" t="s">
        <v>1359</v>
      </c>
    </row>
    <row r="720" spans="1:10">
      <c r="A720" t="s">
        <v>837</v>
      </c>
      <c r="B720">
        <v>524</v>
      </c>
      <c r="C720">
        <v>41</v>
      </c>
      <c r="D720">
        <v>7</v>
      </c>
      <c r="E720">
        <v>87</v>
      </c>
      <c r="F720">
        <v>71</v>
      </c>
      <c r="G720">
        <v>19</v>
      </c>
      <c r="H720">
        <v>26</v>
      </c>
      <c r="I720">
        <v>32</v>
      </c>
      <c r="J720" t="s">
        <v>1359</v>
      </c>
    </row>
    <row r="721" spans="1:10">
      <c r="A721" t="s">
        <v>838</v>
      </c>
      <c r="B721">
        <v>480</v>
      </c>
      <c r="C721">
        <v>40</v>
      </c>
      <c r="D721">
        <v>12</v>
      </c>
      <c r="E721">
        <v>91</v>
      </c>
      <c r="F721">
        <v>74</v>
      </c>
      <c r="G721">
        <v>30</v>
      </c>
      <c r="H721">
        <v>37</v>
      </c>
      <c r="I721">
        <v>43</v>
      </c>
      <c r="J721" t="s">
        <v>1359</v>
      </c>
    </row>
    <row r="722" spans="1:10">
      <c r="A722" t="s">
        <v>839</v>
      </c>
      <c r="B722">
        <v>10</v>
      </c>
      <c r="C722">
        <v>41</v>
      </c>
      <c r="D722">
        <v>9</v>
      </c>
      <c r="E722">
        <v>85</v>
      </c>
      <c r="F722">
        <v>72</v>
      </c>
      <c r="G722">
        <v>28</v>
      </c>
      <c r="H722">
        <v>35</v>
      </c>
      <c r="I722">
        <v>41</v>
      </c>
      <c r="J722" t="s">
        <v>1359</v>
      </c>
    </row>
    <row r="723" spans="1:10">
      <c r="A723" t="s">
        <v>840</v>
      </c>
      <c r="B723">
        <v>51</v>
      </c>
      <c r="C723">
        <v>41</v>
      </c>
      <c r="D723">
        <v>10</v>
      </c>
      <c r="E723">
        <v>86</v>
      </c>
      <c r="F723">
        <v>71</v>
      </c>
      <c r="G723">
        <v>20</v>
      </c>
      <c r="H723">
        <v>27</v>
      </c>
      <c r="I723">
        <v>33</v>
      </c>
      <c r="J723" t="s">
        <v>1359</v>
      </c>
    </row>
    <row r="724" spans="1:10">
      <c r="A724" t="s">
        <v>841</v>
      </c>
      <c r="B724">
        <v>782</v>
      </c>
      <c r="C724">
        <v>34</v>
      </c>
      <c r="D724">
        <v>23</v>
      </c>
      <c r="E724">
        <v>92</v>
      </c>
      <c r="F724">
        <v>74</v>
      </c>
      <c r="G724">
        <v>28</v>
      </c>
      <c r="H724">
        <v>35</v>
      </c>
      <c r="I724">
        <v>41</v>
      </c>
      <c r="J724" t="s">
        <v>1359</v>
      </c>
    </row>
    <row r="725" spans="1:10">
      <c r="A725" t="s">
        <v>842</v>
      </c>
      <c r="B725">
        <v>38</v>
      </c>
      <c r="C725">
        <v>32</v>
      </c>
      <c r="D725">
        <v>31</v>
      </c>
      <c r="E725">
        <v>93</v>
      </c>
      <c r="F725">
        <v>78</v>
      </c>
      <c r="G725">
        <v>52</v>
      </c>
      <c r="H725">
        <v>59</v>
      </c>
      <c r="I725">
        <v>65</v>
      </c>
      <c r="J725" t="s">
        <v>1359</v>
      </c>
    </row>
    <row r="726" spans="1:10">
      <c r="A726" t="s">
        <v>843</v>
      </c>
      <c r="B726">
        <v>45</v>
      </c>
      <c r="C726">
        <v>32</v>
      </c>
      <c r="D726">
        <v>28</v>
      </c>
      <c r="E726">
        <v>92</v>
      </c>
      <c r="F726">
        <v>77</v>
      </c>
      <c r="G726">
        <v>47</v>
      </c>
      <c r="H726">
        <v>54</v>
      </c>
      <c r="I726">
        <v>60</v>
      </c>
      <c r="J726" t="s">
        <v>1359</v>
      </c>
    </row>
    <row r="727" spans="1:10">
      <c r="A727" t="s">
        <v>844</v>
      </c>
      <c r="B727">
        <v>3</v>
      </c>
      <c r="C727">
        <v>32</v>
      </c>
      <c r="D727">
        <v>28</v>
      </c>
      <c r="E727">
        <v>92</v>
      </c>
      <c r="F727">
        <v>78</v>
      </c>
      <c r="G727">
        <v>54</v>
      </c>
      <c r="H727">
        <v>61</v>
      </c>
      <c r="I727">
        <v>67</v>
      </c>
      <c r="J727" t="s">
        <v>1032</v>
      </c>
    </row>
    <row r="728" spans="1:10">
      <c r="A728" t="s">
        <v>845</v>
      </c>
      <c r="B728">
        <v>213</v>
      </c>
      <c r="C728">
        <v>34</v>
      </c>
      <c r="D728">
        <v>24</v>
      </c>
      <c r="E728">
        <v>94</v>
      </c>
      <c r="F728">
        <v>75</v>
      </c>
      <c r="G728">
        <v>31</v>
      </c>
      <c r="H728">
        <v>38</v>
      </c>
      <c r="I728">
        <v>44</v>
      </c>
      <c r="J728" t="s">
        <v>1359</v>
      </c>
    </row>
    <row r="729" spans="1:10">
      <c r="A729" t="s">
        <v>846</v>
      </c>
      <c r="B729">
        <v>147</v>
      </c>
      <c r="C729">
        <v>34</v>
      </c>
      <c r="D729">
        <v>27</v>
      </c>
      <c r="E729">
        <v>94</v>
      </c>
      <c r="F729">
        <v>76</v>
      </c>
      <c r="G729">
        <v>37</v>
      </c>
      <c r="H729">
        <v>44</v>
      </c>
      <c r="I729">
        <v>50</v>
      </c>
      <c r="J729" t="s">
        <v>1359</v>
      </c>
    </row>
    <row r="730" spans="1:10">
      <c r="A730" t="s">
        <v>847</v>
      </c>
      <c r="B730">
        <v>14</v>
      </c>
      <c r="C730">
        <v>33</v>
      </c>
      <c r="D730">
        <v>26</v>
      </c>
      <c r="E730">
        <v>90</v>
      </c>
      <c r="F730">
        <v>78</v>
      </c>
      <c r="G730">
        <v>57</v>
      </c>
      <c r="H730">
        <v>64</v>
      </c>
      <c r="I730">
        <v>70</v>
      </c>
      <c r="J730" t="s">
        <v>1359</v>
      </c>
    </row>
    <row r="731" spans="1:10">
      <c r="A731" t="s">
        <v>848</v>
      </c>
      <c r="B731">
        <v>957</v>
      </c>
      <c r="C731">
        <v>34</v>
      </c>
      <c r="D731">
        <v>23</v>
      </c>
      <c r="E731">
        <v>91</v>
      </c>
      <c r="F731">
        <v>74</v>
      </c>
      <c r="G731">
        <v>30</v>
      </c>
      <c r="H731">
        <v>37</v>
      </c>
      <c r="I731">
        <v>43</v>
      </c>
      <c r="J731" t="s">
        <v>1359</v>
      </c>
    </row>
    <row r="732" spans="1:10">
      <c r="A732" t="s">
        <v>849</v>
      </c>
      <c r="B732">
        <v>631</v>
      </c>
      <c r="C732">
        <v>34</v>
      </c>
      <c r="D732">
        <v>22</v>
      </c>
      <c r="E732">
        <v>93</v>
      </c>
      <c r="F732">
        <v>74</v>
      </c>
      <c r="G732">
        <v>27</v>
      </c>
      <c r="H732">
        <v>34</v>
      </c>
      <c r="I732">
        <v>40</v>
      </c>
      <c r="J732" t="s">
        <v>1359</v>
      </c>
    </row>
    <row r="733" spans="1:10">
      <c r="A733" t="s">
        <v>850</v>
      </c>
      <c r="B733">
        <v>25</v>
      </c>
      <c r="C733">
        <v>33</v>
      </c>
      <c r="D733">
        <v>29</v>
      </c>
      <c r="E733">
        <v>90</v>
      </c>
      <c r="F733">
        <v>78</v>
      </c>
      <c r="G733">
        <v>57</v>
      </c>
      <c r="H733">
        <v>64</v>
      </c>
      <c r="I733">
        <v>70</v>
      </c>
      <c r="J733" t="s">
        <v>1359</v>
      </c>
    </row>
    <row r="734" spans="1:10">
      <c r="A734" t="s">
        <v>851</v>
      </c>
      <c r="B734">
        <v>197</v>
      </c>
      <c r="C734">
        <v>33</v>
      </c>
      <c r="D734">
        <v>24</v>
      </c>
      <c r="E734">
        <v>95</v>
      </c>
      <c r="F734">
        <v>75</v>
      </c>
      <c r="G734">
        <v>29</v>
      </c>
      <c r="H734">
        <v>36</v>
      </c>
      <c r="I734">
        <v>42</v>
      </c>
      <c r="J734" t="s">
        <v>1359</v>
      </c>
    </row>
    <row r="735" spans="1:10">
      <c r="A735" t="s">
        <v>852</v>
      </c>
      <c r="B735">
        <v>667</v>
      </c>
      <c r="C735">
        <v>35</v>
      </c>
      <c r="D735">
        <v>23</v>
      </c>
      <c r="E735">
        <v>94</v>
      </c>
      <c r="F735">
        <v>74</v>
      </c>
      <c r="G735">
        <v>25</v>
      </c>
      <c r="H735">
        <v>32</v>
      </c>
      <c r="I735">
        <v>38</v>
      </c>
      <c r="J735" t="s">
        <v>1359</v>
      </c>
    </row>
    <row r="736" spans="1:10">
      <c r="A736" t="s">
        <v>853</v>
      </c>
      <c r="B736">
        <v>801</v>
      </c>
      <c r="C736">
        <v>35</v>
      </c>
      <c r="D736">
        <v>22</v>
      </c>
      <c r="E736">
        <v>91</v>
      </c>
      <c r="F736">
        <v>74</v>
      </c>
      <c r="G736">
        <v>30</v>
      </c>
      <c r="H736">
        <v>37</v>
      </c>
      <c r="I736">
        <v>43</v>
      </c>
      <c r="J736" t="s">
        <v>1359</v>
      </c>
    </row>
    <row r="737" spans="1:10">
      <c r="A737" t="s">
        <v>854</v>
      </c>
      <c r="B737">
        <v>252</v>
      </c>
      <c r="C737">
        <v>34</v>
      </c>
      <c r="D737">
        <v>29</v>
      </c>
      <c r="E737">
        <v>93</v>
      </c>
      <c r="F737">
        <v>75</v>
      </c>
      <c r="G737">
        <v>33</v>
      </c>
      <c r="H737">
        <v>40</v>
      </c>
      <c r="I737">
        <v>46</v>
      </c>
      <c r="J737" t="s">
        <v>1359</v>
      </c>
    </row>
    <row r="738" spans="1:10">
      <c r="A738" t="s">
        <v>855</v>
      </c>
      <c r="B738">
        <v>1296</v>
      </c>
      <c r="C738">
        <v>45</v>
      </c>
      <c r="D738">
        <v>-15</v>
      </c>
      <c r="E738">
        <v>91</v>
      </c>
      <c r="F738">
        <v>72</v>
      </c>
      <c r="G738">
        <v>18</v>
      </c>
      <c r="H738">
        <v>25</v>
      </c>
      <c r="I738">
        <v>31</v>
      </c>
      <c r="J738" t="s">
        <v>1033</v>
      </c>
    </row>
    <row r="739" spans="1:10">
      <c r="A739" t="s">
        <v>856</v>
      </c>
      <c r="B739">
        <v>1647</v>
      </c>
      <c r="C739">
        <v>44</v>
      </c>
      <c r="D739">
        <v>-13</v>
      </c>
      <c r="E739">
        <v>92</v>
      </c>
      <c r="F739">
        <v>72</v>
      </c>
      <c r="G739">
        <v>16</v>
      </c>
      <c r="H739">
        <v>23</v>
      </c>
      <c r="I739">
        <v>29</v>
      </c>
      <c r="J739" t="s">
        <v>1359</v>
      </c>
    </row>
    <row r="740" spans="1:10">
      <c r="A740" t="s">
        <v>857</v>
      </c>
      <c r="B740">
        <v>1739</v>
      </c>
      <c r="C740">
        <v>43</v>
      </c>
      <c r="D740">
        <v>-7</v>
      </c>
      <c r="E740">
        <v>94</v>
      </c>
      <c r="F740">
        <v>71</v>
      </c>
      <c r="G740">
        <v>7</v>
      </c>
      <c r="H740">
        <v>14</v>
      </c>
      <c r="I740">
        <v>20</v>
      </c>
      <c r="J740" t="s">
        <v>1033</v>
      </c>
    </row>
    <row r="741" spans="1:10">
      <c r="A741" t="s">
        <v>858</v>
      </c>
      <c r="B741">
        <v>1281</v>
      </c>
      <c r="C741">
        <v>44</v>
      </c>
      <c r="D741">
        <v>-12</v>
      </c>
      <c r="E741">
        <v>91</v>
      </c>
      <c r="F741">
        <v>71</v>
      </c>
      <c r="G741">
        <v>12</v>
      </c>
      <c r="H741">
        <v>19</v>
      </c>
      <c r="I741">
        <v>25</v>
      </c>
      <c r="J741" t="s">
        <v>1033</v>
      </c>
    </row>
    <row r="742" spans="1:10">
      <c r="A742" t="s">
        <v>859</v>
      </c>
      <c r="B742">
        <v>1303</v>
      </c>
      <c r="C742">
        <v>43</v>
      </c>
      <c r="D742">
        <v>-10</v>
      </c>
      <c r="E742">
        <v>93</v>
      </c>
      <c r="F742">
        <v>71</v>
      </c>
      <c r="G742">
        <v>9</v>
      </c>
      <c r="H742">
        <v>16</v>
      </c>
      <c r="I742">
        <v>22</v>
      </c>
      <c r="J742" t="s">
        <v>1033</v>
      </c>
    </row>
    <row r="743" spans="1:10">
      <c r="A743" t="s">
        <v>860</v>
      </c>
      <c r="B743">
        <v>1742</v>
      </c>
      <c r="C743">
        <v>44</v>
      </c>
      <c r="D743">
        <v>-9</v>
      </c>
      <c r="E743">
        <v>95</v>
      </c>
      <c r="F743">
        <v>69</v>
      </c>
      <c r="G743">
        <v>-6</v>
      </c>
      <c r="H743">
        <v>1</v>
      </c>
      <c r="I743">
        <v>7</v>
      </c>
      <c r="J743" t="s">
        <v>1033</v>
      </c>
    </row>
    <row r="744" spans="1:10">
      <c r="A744" t="s">
        <v>861</v>
      </c>
      <c r="B744">
        <v>3162</v>
      </c>
      <c r="C744">
        <v>44</v>
      </c>
      <c r="D744">
        <v>-5</v>
      </c>
      <c r="E744">
        <v>91</v>
      </c>
      <c r="F744">
        <v>65</v>
      </c>
      <c r="G744">
        <v>-18</v>
      </c>
      <c r="H744">
        <v>-11</v>
      </c>
      <c r="I744">
        <v>-5</v>
      </c>
      <c r="J744" t="s">
        <v>1033</v>
      </c>
    </row>
    <row r="745" spans="1:10">
      <c r="A745" t="s">
        <v>862</v>
      </c>
      <c r="B745">
        <v>1418</v>
      </c>
      <c r="C745">
        <v>43</v>
      </c>
      <c r="D745">
        <v>-11</v>
      </c>
      <c r="E745">
        <v>90</v>
      </c>
      <c r="F745">
        <v>72</v>
      </c>
      <c r="G745">
        <v>19</v>
      </c>
      <c r="H745">
        <v>26</v>
      </c>
      <c r="I745">
        <v>32</v>
      </c>
      <c r="J745" t="s">
        <v>1359</v>
      </c>
    </row>
    <row r="746" spans="1:10">
      <c r="A746" t="s">
        <v>863</v>
      </c>
      <c r="B746">
        <v>1748</v>
      </c>
      <c r="C746">
        <v>45</v>
      </c>
      <c r="D746">
        <v>-15</v>
      </c>
      <c r="E746">
        <v>91</v>
      </c>
      <c r="F746">
        <v>72</v>
      </c>
      <c r="G746">
        <v>18</v>
      </c>
      <c r="H746">
        <v>25</v>
      </c>
      <c r="I746">
        <v>31</v>
      </c>
      <c r="J746" t="s">
        <v>1033</v>
      </c>
    </row>
    <row r="747" spans="1:10">
      <c r="A747" t="s">
        <v>864</v>
      </c>
      <c r="B747">
        <v>1305</v>
      </c>
      <c r="C747">
        <v>43</v>
      </c>
      <c r="D747">
        <v>-7</v>
      </c>
      <c r="E747">
        <v>91</v>
      </c>
      <c r="F747">
        <v>72</v>
      </c>
      <c r="G747">
        <v>28</v>
      </c>
      <c r="H747">
        <v>35</v>
      </c>
      <c r="I747">
        <v>41</v>
      </c>
      <c r="J747" t="s">
        <v>1359</v>
      </c>
    </row>
    <row r="748" spans="1:10">
      <c r="A748" t="s">
        <v>865</v>
      </c>
      <c r="B748">
        <v>858</v>
      </c>
      <c r="C748">
        <v>33</v>
      </c>
      <c r="D748">
        <v>18</v>
      </c>
      <c r="E748">
        <v>92</v>
      </c>
      <c r="F748">
        <v>73</v>
      </c>
      <c r="G748">
        <v>22</v>
      </c>
      <c r="H748">
        <v>29</v>
      </c>
      <c r="I748">
        <v>35</v>
      </c>
      <c r="J748" t="s">
        <v>1359</v>
      </c>
    </row>
    <row r="749" spans="1:10">
      <c r="A749" t="s">
        <v>866</v>
      </c>
      <c r="B749">
        <v>1507</v>
      </c>
      <c r="C749">
        <v>36</v>
      </c>
      <c r="D749">
        <v>14</v>
      </c>
      <c r="E749">
        <v>87</v>
      </c>
      <c r="F749">
        <v>72</v>
      </c>
      <c r="G749">
        <v>24</v>
      </c>
      <c r="H749">
        <v>31</v>
      </c>
      <c r="I749">
        <v>37</v>
      </c>
      <c r="J749" t="s">
        <v>1359</v>
      </c>
    </row>
    <row r="750" spans="1:10">
      <c r="A750" t="s">
        <v>867</v>
      </c>
      <c r="B750">
        <v>665</v>
      </c>
      <c r="C750">
        <v>35</v>
      </c>
      <c r="D750">
        <v>20</v>
      </c>
      <c r="E750">
        <v>92</v>
      </c>
      <c r="F750">
        <v>75</v>
      </c>
      <c r="G750">
        <v>34</v>
      </c>
      <c r="H750">
        <v>41</v>
      </c>
      <c r="I750">
        <v>47</v>
      </c>
      <c r="J750" t="s">
        <v>1359</v>
      </c>
    </row>
    <row r="751" spans="1:10">
      <c r="A751" t="s">
        <v>868</v>
      </c>
      <c r="B751">
        <v>550</v>
      </c>
      <c r="C751">
        <v>36</v>
      </c>
      <c r="D751">
        <v>12</v>
      </c>
      <c r="E751">
        <v>93</v>
      </c>
      <c r="F751">
        <v>74</v>
      </c>
      <c r="G751">
        <v>27</v>
      </c>
      <c r="H751">
        <v>34</v>
      </c>
      <c r="I751">
        <v>40</v>
      </c>
      <c r="J751" t="s">
        <v>1359</v>
      </c>
    </row>
    <row r="752" spans="1:10">
      <c r="A752" t="s">
        <v>869</v>
      </c>
      <c r="B752">
        <v>681</v>
      </c>
      <c r="C752">
        <v>35</v>
      </c>
      <c r="D752">
        <v>15</v>
      </c>
      <c r="E752">
        <v>94</v>
      </c>
      <c r="F752">
        <v>74</v>
      </c>
      <c r="G752">
        <v>25</v>
      </c>
      <c r="H752">
        <v>32</v>
      </c>
      <c r="I752">
        <v>38</v>
      </c>
      <c r="J752" t="s">
        <v>1359</v>
      </c>
    </row>
    <row r="753" spans="1:10">
      <c r="A753" t="s">
        <v>870</v>
      </c>
      <c r="B753">
        <v>1880</v>
      </c>
      <c r="C753">
        <v>35</v>
      </c>
      <c r="D753">
        <v>15</v>
      </c>
      <c r="E753">
        <v>87</v>
      </c>
      <c r="F753">
        <v>72</v>
      </c>
      <c r="G753">
        <v>24</v>
      </c>
      <c r="H753">
        <v>31</v>
      </c>
      <c r="I753">
        <v>37</v>
      </c>
      <c r="J753" t="s">
        <v>1359</v>
      </c>
    </row>
    <row r="754" spans="1:10">
      <c r="A754" t="s">
        <v>871</v>
      </c>
      <c r="B754">
        <v>338</v>
      </c>
      <c r="C754">
        <v>36</v>
      </c>
      <c r="D754">
        <v>15</v>
      </c>
      <c r="E754">
        <v>94</v>
      </c>
      <c r="F754">
        <v>77</v>
      </c>
      <c r="G754">
        <v>44</v>
      </c>
      <c r="H754">
        <v>51</v>
      </c>
      <c r="I754">
        <v>57</v>
      </c>
      <c r="J754" t="s">
        <v>1359</v>
      </c>
    </row>
    <row r="755" spans="1:10">
      <c r="A755" t="s">
        <v>872</v>
      </c>
      <c r="B755">
        <v>1608</v>
      </c>
      <c r="C755">
        <v>35</v>
      </c>
      <c r="D755">
        <v>16</v>
      </c>
      <c r="E755">
        <v>90</v>
      </c>
      <c r="F755">
        <v>72</v>
      </c>
      <c r="G755">
        <v>19</v>
      </c>
      <c r="H755">
        <v>26</v>
      </c>
      <c r="I755">
        <v>32</v>
      </c>
      <c r="J755" t="s">
        <v>1359</v>
      </c>
    </row>
    <row r="756" spans="1:10">
      <c r="A756" t="s">
        <v>873</v>
      </c>
      <c r="B756">
        <v>433</v>
      </c>
      <c r="C756">
        <v>35</v>
      </c>
      <c r="D756">
        <v>18</v>
      </c>
      <c r="E756">
        <v>93</v>
      </c>
      <c r="F756">
        <v>76</v>
      </c>
      <c r="G756">
        <v>39</v>
      </c>
      <c r="H756">
        <v>46</v>
      </c>
      <c r="I756">
        <v>52</v>
      </c>
      <c r="J756" t="s">
        <v>1359</v>
      </c>
    </row>
    <row r="757" spans="1:10">
      <c r="A757" t="s">
        <v>874</v>
      </c>
      <c r="B757">
        <v>980</v>
      </c>
      <c r="C757">
        <v>35</v>
      </c>
      <c r="D757">
        <v>19</v>
      </c>
      <c r="E757">
        <v>90</v>
      </c>
      <c r="F757">
        <v>74</v>
      </c>
      <c r="G757">
        <v>31</v>
      </c>
      <c r="H757">
        <v>38</v>
      </c>
      <c r="I757">
        <v>44</v>
      </c>
      <c r="J757" t="s">
        <v>1359</v>
      </c>
    </row>
    <row r="758" spans="1:10">
      <c r="A758" t="s">
        <v>875</v>
      </c>
      <c r="B758">
        <v>258</v>
      </c>
      <c r="C758">
        <v>35</v>
      </c>
      <c r="D758">
        <v>21</v>
      </c>
      <c r="E758">
        <v>94</v>
      </c>
      <c r="F758">
        <v>77</v>
      </c>
      <c r="G758">
        <v>44</v>
      </c>
      <c r="H758">
        <v>51</v>
      </c>
      <c r="I758">
        <v>57</v>
      </c>
      <c r="J758" t="s">
        <v>1359</v>
      </c>
    </row>
    <row r="759" spans="1:10">
      <c r="A759" t="s">
        <v>876</v>
      </c>
      <c r="B759">
        <v>615</v>
      </c>
      <c r="C759">
        <v>35</v>
      </c>
      <c r="D759">
        <v>14</v>
      </c>
      <c r="E759">
        <v>94</v>
      </c>
      <c r="F759">
        <v>74</v>
      </c>
      <c r="G759">
        <v>25</v>
      </c>
      <c r="H759">
        <v>32</v>
      </c>
      <c r="I759">
        <v>38</v>
      </c>
      <c r="J759" t="s">
        <v>1359</v>
      </c>
    </row>
    <row r="760" spans="1:10">
      <c r="A760" t="s">
        <v>877</v>
      </c>
      <c r="B760">
        <v>590</v>
      </c>
      <c r="C760">
        <v>36</v>
      </c>
      <c r="D760">
        <v>16</v>
      </c>
      <c r="E760">
        <v>92</v>
      </c>
      <c r="F760">
        <v>75</v>
      </c>
      <c r="G760">
        <v>34</v>
      </c>
      <c r="H760">
        <v>41</v>
      </c>
      <c r="I760">
        <v>47</v>
      </c>
      <c r="J760" t="s">
        <v>1359</v>
      </c>
    </row>
    <row r="761" spans="1:10">
      <c r="A761" t="s">
        <v>878</v>
      </c>
      <c r="B761">
        <v>1072</v>
      </c>
      <c r="C761">
        <v>35</v>
      </c>
      <c r="D761">
        <v>13</v>
      </c>
      <c r="E761">
        <v>93</v>
      </c>
      <c r="F761">
        <v>73</v>
      </c>
      <c r="G761">
        <v>20</v>
      </c>
      <c r="H761">
        <v>27</v>
      </c>
      <c r="I761">
        <v>33</v>
      </c>
      <c r="J761" t="s">
        <v>1359</v>
      </c>
    </row>
    <row r="762" spans="1:10">
      <c r="A762" t="s">
        <v>879</v>
      </c>
      <c r="B762">
        <v>1790</v>
      </c>
      <c r="C762">
        <v>32</v>
      </c>
      <c r="D762">
        <v>22</v>
      </c>
      <c r="E762">
        <v>97</v>
      </c>
      <c r="F762">
        <v>71</v>
      </c>
      <c r="G762">
        <v>2</v>
      </c>
      <c r="H762">
        <v>9</v>
      </c>
      <c r="I762">
        <v>15</v>
      </c>
      <c r="J762" t="s">
        <v>1359</v>
      </c>
    </row>
    <row r="763" spans="1:10">
      <c r="A763" t="s">
        <v>880</v>
      </c>
      <c r="B763">
        <v>178</v>
      </c>
      <c r="C763">
        <v>27</v>
      </c>
      <c r="D763">
        <v>34</v>
      </c>
      <c r="E763">
        <v>98</v>
      </c>
      <c r="F763">
        <v>77</v>
      </c>
      <c r="G763">
        <v>37</v>
      </c>
      <c r="H763">
        <v>44</v>
      </c>
      <c r="I763">
        <v>50</v>
      </c>
      <c r="J763" t="s">
        <v>1359</v>
      </c>
    </row>
    <row r="764" spans="1:10">
      <c r="A764" t="s">
        <v>881</v>
      </c>
      <c r="B764">
        <v>3604</v>
      </c>
      <c r="C764">
        <v>35</v>
      </c>
      <c r="D764">
        <v>12</v>
      </c>
      <c r="E764">
        <v>94</v>
      </c>
      <c r="F764">
        <v>66</v>
      </c>
      <c r="G764">
        <v>-17</v>
      </c>
      <c r="H764">
        <v>-10</v>
      </c>
      <c r="I764">
        <v>-4</v>
      </c>
      <c r="J764" t="s">
        <v>1033</v>
      </c>
    </row>
    <row r="765" spans="1:10">
      <c r="A765" t="s">
        <v>882</v>
      </c>
      <c r="B765">
        <v>597</v>
      </c>
      <c r="C765">
        <v>30</v>
      </c>
      <c r="D765">
        <v>30</v>
      </c>
      <c r="E765">
        <v>96</v>
      </c>
      <c r="F765">
        <v>74</v>
      </c>
      <c r="G765">
        <v>22</v>
      </c>
      <c r="H765">
        <v>29</v>
      </c>
      <c r="I765">
        <v>35</v>
      </c>
      <c r="J765" t="s">
        <v>1359</v>
      </c>
    </row>
    <row r="766" spans="1:10">
      <c r="A766" t="s">
        <v>883</v>
      </c>
      <c r="B766">
        <v>45</v>
      </c>
      <c r="C766">
        <v>29</v>
      </c>
      <c r="D766">
        <v>33</v>
      </c>
      <c r="E766">
        <v>94</v>
      </c>
      <c r="F766">
        <v>77</v>
      </c>
      <c r="G766">
        <v>59</v>
      </c>
      <c r="H766">
        <v>66</v>
      </c>
      <c r="I766">
        <v>72</v>
      </c>
      <c r="J766" t="s">
        <v>1359</v>
      </c>
    </row>
    <row r="767" spans="1:10">
      <c r="A767" t="s">
        <v>884</v>
      </c>
      <c r="B767">
        <v>16</v>
      </c>
      <c r="C767">
        <v>30</v>
      </c>
      <c r="D767">
        <v>32</v>
      </c>
      <c r="E767">
        <v>92</v>
      </c>
      <c r="F767">
        <v>79</v>
      </c>
      <c r="G767">
        <v>61</v>
      </c>
      <c r="H767">
        <v>68</v>
      </c>
      <c r="I767">
        <v>74</v>
      </c>
      <c r="J767" t="s">
        <v>1359</v>
      </c>
    </row>
    <row r="768" spans="1:10">
      <c r="A768" t="s">
        <v>885</v>
      </c>
      <c r="B768">
        <v>190</v>
      </c>
      <c r="C768">
        <v>28</v>
      </c>
      <c r="D768">
        <v>33</v>
      </c>
      <c r="E768">
        <v>98</v>
      </c>
      <c r="F768">
        <v>77</v>
      </c>
      <c r="G768">
        <v>37</v>
      </c>
      <c r="H768">
        <v>44</v>
      </c>
      <c r="I768">
        <v>50</v>
      </c>
      <c r="J768" t="s">
        <v>1359</v>
      </c>
    </row>
    <row r="769" spans="1:10">
      <c r="A769" t="s">
        <v>886</v>
      </c>
      <c r="B769">
        <v>2561</v>
      </c>
      <c r="C769">
        <v>32</v>
      </c>
      <c r="D769">
        <v>20</v>
      </c>
      <c r="E769">
        <v>97</v>
      </c>
      <c r="F769">
        <v>69</v>
      </c>
      <c r="G769">
        <v>-9</v>
      </c>
      <c r="H769">
        <v>-2</v>
      </c>
      <c r="I769">
        <v>4</v>
      </c>
      <c r="J769" t="s">
        <v>1359</v>
      </c>
    </row>
    <row r="770" spans="1:10">
      <c r="A770" t="s">
        <v>887</v>
      </c>
      <c r="B770">
        <v>19</v>
      </c>
      <c r="C770">
        <v>25</v>
      </c>
      <c r="D770">
        <v>40</v>
      </c>
      <c r="E770">
        <v>94</v>
      </c>
      <c r="F770">
        <v>77</v>
      </c>
      <c r="G770">
        <v>44</v>
      </c>
      <c r="H770">
        <v>51</v>
      </c>
      <c r="I770">
        <v>57</v>
      </c>
      <c r="J770" t="s">
        <v>1033</v>
      </c>
    </row>
    <row r="771" spans="1:10">
      <c r="A771" t="s">
        <v>888</v>
      </c>
      <c r="B771">
        <v>1386</v>
      </c>
      <c r="C771">
        <v>31</v>
      </c>
      <c r="D771">
        <v>22</v>
      </c>
      <c r="E771">
        <v>99</v>
      </c>
      <c r="F771">
        <v>73</v>
      </c>
      <c r="G771">
        <v>11</v>
      </c>
      <c r="H771">
        <v>18</v>
      </c>
      <c r="I771">
        <v>24</v>
      </c>
      <c r="J771" t="s">
        <v>1359</v>
      </c>
    </row>
    <row r="772" spans="1:10">
      <c r="A772" t="s">
        <v>889</v>
      </c>
      <c r="B772">
        <v>322</v>
      </c>
      <c r="C772">
        <v>30</v>
      </c>
      <c r="D772">
        <v>29</v>
      </c>
      <c r="E772">
        <v>96</v>
      </c>
      <c r="F772">
        <v>75</v>
      </c>
      <c r="G772">
        <v>28</v>
      </c>
      <c r="H772">
        <v>35</v>
      </c>
      <c r="I772">
        <v>41</v>
      </c>
      <c r="J772" t="s">
        <v>1359</v>
      </c>
    </row>
    <row r="773" spans="1:10">
      <c r="A773" t="s">
        <v>890</v>
      </c>
      <c r="B773">
        <v>19</v>
      </c>
      <c r="C773">
        <v>27</v>
      </c>
      <c r="D773">
        <v>36</v>
      </c>
      <c r="E773">
        <v>94</v>
      </c>
      <c r="F773">
        <v>78</v>
      </c>
      <c r="G773">
        <v>51</v>
      </c>
      <c r="H773">
        <v>58</v>
      </c>
      <c r="I773">
        <v>64</v>
      </c>
      <c r="J773" t="s">
        <v>1359</v>
      </c>
    </row>
    <row r="774" spans="1:10">
      <c r="A774" t="s">
        <v>891</v>
      </c>
      <c r="B774">
        <v>448</v>
      </c>
      <c r="C774">
        <v>32</v>
      </c>
      <c r="D774">
        <v>25</v>
      </c>
      <c r="E774">
        <v>98</v>
      </c>
      <c r="F774">
        <v>75</v>
      </c>
      <c r="G774">
        <v>25</v>
      </c>
      <c r="H774">
        <v>32</v>
      </c>
      <c r="I774">
        <v>38</v>
      </c>
      <c r="J774" t="s">
        <v>1359</v>
      </c>
    </row>
    <row r="775" spans="1:10">
      <c r="A775" t="s">
        <v>892</v>
      </c>
      <c r="B775">
        <v>537</v>
      </c>
      <c r="C775">
        <v>32</v>
      </c>
      <c r="D775">
        <v>24</v>
      </c>
      <c r="E775">
        <v>98</v>
      </c>
      <c r="F775">
        <v>74</v>
      </c>
      <c r="G775">
        <v>18</v>
      </c>
      <c r="H775">
        <v>25</v>
      </c>
      <c r="I775">
        <v>31</v>
      </c>
      <c r="J775" t="s">
        <v>1359</v>
      </c>
    </row>
    <row r="776" spans="1:10">
      <c r="A776" t="s">
        <v>893</v>
      </c>
      <c r="B776">
        <v>1026</v>
      </c>
      <c r="C776">
        <v>29</v>
      </c>
      <c r="D776">
        <v>32</v>
      </c>
      <c r="E776">
        <v>98</v>
      </c>
      <c r="F776">
        <v>73</v>
      </c>
      <c r="G776">
        <v>12</v>
      </c>
      <c r="H776">
        <v>19</v>
      </c>
      <c r="I776">
        <v>25</v>
      </c>
      <c r="J776" t="s">
        <v>1359</v>
      </c>
    </row>
    <row r="777" spans="1:10">
      <c r="A777" t="s">
        <v>894</v>
      </c>
      <c r="B777">
        <v>642</v>
      </c>
      <c r="C777">
        <v>33</v>
      </c>
      <c r="D777">
        <v>22</v>
      </c>
      <c r="E777">
        <v>99</v>
      </c>
      <c r="F777">
        <v>74</v>
      </c>
      <c r="G777">
        <v>17</v>
      </c>
      <c r="H777">
        <v>24</v>
      </c>
      <c r="I777">
        <v>30</v>
      </c>
      <c r="J777" t="s">
        <v>1359</v>
      </c>
    </row>
    <row r="778" spans="1:10">
      <c r="A778" t="s">
        <v>895</v>
      </c>
      <c r="B778">
        <v>884</v>
      </c>
      <c r="C778">
        <v>28</v>
      </c>
      <c r="D778">
        <v>32</v>
      </c>
      <c r="E778">
        <v>99</v>
      </c>
      <c r="F778">
        <v>73</v>
      </c>
      <c r="G778">
        <v>11</v>
      </c>
      <c r="H778">
        <v>18</v>
      </c>
      <c r="I778">
        <v>24</v>
      </c>
      <c r="J778" t="s">
        <v>1359</v>
      </c>
    </row>
    <row r="779" spans="1:10">
      <c r="A779" t="s">
        <v>896</v>
      </c>
      <c r="B779">
        <v>3918</v>
      </c>
      <c r="C779">
        <v>31</v>
      </c>
      <c r="D779">
        <v>25</v>
      </c>
      <c r="E779">
        <v>98</v>
      </c>
      <c r="F779">
        <v>64</v>
      </c>
      <c r="G779">
        <v>-33</v>
      </c>
      <c r="H779">
        <v>-26</v>
      </c>
      <c r="I779">
        <v>-20</v>
      </c>
      <c r="J779" t="s">
        <v>1033</v>
      </c>
    </row>
    <row r="780" spans="1:10">
      <c r="A780" t="s">
        <v>897</v>
      </c>
      <c r="B780">
        <v>650</v>
      </c>
      <c r="C780">
        <v>32</v>
      </c>
      <c r="D780">
        <v>22</v>
      </c>
      <c r="E780">
        <v>99</v>
      </c>
      <c r="F780">
        <v>74</v>
      </c>
      <c r="G780">
        <v>17</v>
      </c>
      <c r="H780">
        <v>24</v>
      </c>
      <c r="I780">
        <v>30</v>
      </c>
      <c r="J780" t="s">
        <v>1359</v>
      </c>
    </row>
    <row r="781" spans="1:10">
      <c r="A781" t="s">
        <v>898</v>
      </c>
      <c r="B781">
        <v>709</v>
      </c>
      <c r="C781">
        <v>32</v>
      </c>
      <c r="D781">
        <v>24</v>
      </c>
      <c r="E781">
        <v>98</v>
      </c>
      <c r="F781">
        <v>74</v>
      </c>
      <c r="G781">
        <v>18</v>
      </c>
      <c r="H781">
        <v>25</v>
      </c>
      <c r="I781">
        <v>31</v>
      </c>
      <c r="J781" t="s">
        <v>1359</v>
      </c>
    </row>
    <row r="782" spans="1:10">
      <c r="A782" t="s">
        <v>899</v>
      </c>
      <c r="B782">
        <v>7</v>
      </c>
      <c r="C782">
        <v>29</v>
      </c>
      <c r="D782">
        <v>36</v>
      </c>
      <c r="E782">
        <v>89</v>
      </c>
      <c r="F782">
        <v>79</v>
      </c>
      <c r="G782">
        <v>51</v>
      </c>
      <c r="H782">
        <v>58</v>
      </c>
      <c r="I782">
        <v>64</v>
      </c>
      <c r="J782" t="s">
        <v>1032</v>
      </c>
    </row>
    <row r="783" spans="1:10">
      <c r="A783" t="s">
        <v>900</v>
      </c>
      <c r="B783">
        <v>535</v>
      </c>
      <c r="C783">
        <v>33</v>
      </c>
      <c r="D783">
        <v>22</v>
      </c>
      <c r="E783">
        <v>99</v>
      </c>
      <c r="F783">
        <v>74</v>
      </c>
      <c r="G783">
        <v>17</v>
      </c>
      <c r="H783">
        <v>24</v>
      </c>
      <c r="I783">
        <v>30</v>
      </c>
      <c r="J783" t="s">
        <v>1359</v>
      </c>
    </row>
    <row r="784" spans="1:10">
      <c r="A784" t="s">
        <v>901</v>
      </c>
      <c r="B784">
        <v>5453</v>
      </c>
      <c r="C784">
        <v>31</v>
      </c>
      <c r="D784">
        <v>19</v>
      </c>
      <c r="E784">
        <v>89</v>
      </c>
      <c r="F784">
        <v>60</v>
      </c>
      <c r="G784">
        <v>-39</v>
      </c>
      <c r="H784">
        <v>-32</v>
      </c>
      <c r="I784">
        <v>-26</v>
      </c>
      <c r="J784" t="s">
        <v>1359</v>
      </c>
    </row>
    <row r="785" spans="1:13">
      <c r="A785" t="s">
        <v>902</v>
      </c>
      <c r="B785">
        <v>35</v>
      </c>
      <c r="C785">
        <v>26</v>
      </c>
      <c r="D785">
        <v>39</v>
      </c>
      <c r="E785">
        <v>94</v>
      </c>
      <c r="F785">
        <v>77</v>
      </c>
      <c r="G785">
        <v>44</v>
      </c>
      <c r="H785">
        <v>51</v>
      </c>
      <c r="I785">
        <v>57</v>
      </c>
      <c r="J785" t="s">
        <v>1359</v>
      </c>
    </row>
    <row r="786" spans="1:13">
      <c r="A786" t="s">
        <v>903</v>
      </c>
      <c r="B786">
        <v>96</v>
      </c>
      <c r="C786">
        <v>29</v>
      </c>
      <c r="D786">
        <v>31</v>
      </c>
      <c r="E786">
        <v>94</v>
      </c>
      <c r="F786">
        <v>77</v>
      </c>
      <c r="G786">
        <v>44</v>
      </c>
      <c r="H786">
        <v>51</v>
      </c>
      <c r="I786">
        <v>57</v>
      </c>
      <c r="J786" t="s">
        <v>1359</v>
      </c>
    </row>
    <row r="787" spans="1:13">
      <c r="A787" t="s">
        <v>904</v>
      </c>
      <c r="B787">
        <v>46</v>
      </c>
      <c r="C787">
        <v>29</v>
      </c>
      <c r="D787">
        <v>34</v>
      </c>
      <c r="E787">
        <v>93</v>
      </c>
      <c r="F787">
        <v>77</v>
      </c>
      <c r="G787">
        <v>46</v>
      </c>
      <c r="H787">
        <v>53</v>
      </c>
      <c r="I787">
        <v>59</v>
      </c>
      <c r="J787" t="s">
        <v>1359</v>
      </c>
    </row>
    <row r="788" spans="1:13">
      <c r="A788" t="s">
        <v>905</v>
      </c>
      <c r="B788">
        <v>363</v>
      </c>
      <c r="C788">
        <v>30</v>
      </c>
      <c r="D788">
        <v>27</v>
      </c>
      <c r="E788">
        <v>98</v>
      </c>
      <c r="F788">
        <v>75</v>
      </c>
      <c r="G788">
        <v>25</v>
      </c>
      <c r="H788">
        <v>32</v>
      </c>
      <c r="I788">
        <v>38</v>
      </c>
      <c r="J788" t="s">
        <v>1359</v>
      </c>
    </row>
    <row r="789" spans="1:13">
      <c r="A789" t="s">
        <v>906</v>
      </c>
      <c r="B789">
        <v>1713</v>
      </c>
      <c r="C789">
        <v>30</v>
      </c>
      <c r="D789">
        <v>23</v>
      </c>
      <c r="E789">
        <v>98</v>
      </c>
      <c r="F789">
        <v>71</v>
      </c>
      <c r="G789">
        <v>1</v>
      </c>
      <c r="H789">
        <v>8</v>
      </c>
      <c r="I789">
        <v>14</v>
      </c>
      <c r="J789" t="s">
        <v>1033</v>
      </c>
    </row>
    <row r="790" spans="1:13">
      <c r="A790" t="s">
        <v>907</v>
      </c>
      <c r="B790">
        <v>1014</v>
      </c>
      <c r="C790">
        <v>31</v>
      </c>
      <c r="D790">
        <v>27</v>
      </c>
      <c r="E790">
        <v>96</v>
      </c>
      <c r="F790">
        <v>73</v>
      </c>
      <c r="G790">
        <v>16</v>
      </c>
      <c r="H790">
        <v>23</v>
      </c>
      <c r="I790">
        <v>29</v>
      </c>
      <c r="J790" t="s">
        <v>1359</v>
      </c>
    </row>
    <row r="791" spans="1:13">
      <c r="A791" t="s">
        <v>908</v>
      </c>
      <c r="B791">
        <v>50</v>
      </c>
      <c r="C791">
        <v>27</v>
      </c>
      <c r="D791">
        <v>36</v>
      </c>
      <c r="E791">
        <v>96</v>
      </c>
      <c r="F791">
        <v>78</v>
      </c>
      <c r="G791">
        <v>47</v>
      </c>
      <c r="H791">
        <v>54</v>
      </c>
      <c r="I791">
        <v>60</v>
      </c>
      <c r="J791" t="s">
        <v>1359</v>
      </c>
    </row>
    <row r="792" spans="1:13">
      <c r="A792" t="s">
        <v>909</v>
      </c>
      <c r="B792">
        <v>2998</v>
      </c>
      <c r="C792">
        <v>32</v>
      </c>
      <c r="D792">
        <v>17</v>
      </c>
      <c r="E792">
        <v>96</v>
      </c>
      <c r="F792">
        <v>69</v>
      </c>
      <c r="G792">
        <v>-7</v>
      </c>
      <c r="H792">
        <v>0</v>
      </c>
      <c r="I792">
        <v>6</v>
      </c>
      <c r="J792" t="s">
        <v>1033</v>
      </c>
    </row>
    <row r="793" spans="1:13">
      <c r="A793" t="s">
        <v>910</v>
      </c>
      <c r="B793">
        <v>512</v>
      </c>
      <c r="C793">
        <v>27</v>
      </c>
      <c r="D793">
        <v>36</v>
      </c>
      <c r="E793">
        <v>101</v>
      </c>
      <c r="F793">
        <v>74</v>
      </c>
      <c r="G793">
        <v>14</v>
      </c>
      <c r="H793">
        <v>21</v>
      </c>
      <c r="I793">
        <v>27</v>
      </c>
      <c r="J793" t="s">
        <v>1359</v>
      </c>
    </row>
    <row r="794" spans="1:13">
      <c r="A794" t="s">
        <v>2775</v>
      </c>
      <c r="B794">
        <v>365</v>
      </c>
      <c r="C794">
        <v>32</v>
      </c>
      <c r="D794">
        <v>24</v>
      </c>
      <c r="E794">
        <v>97</v>
      </c>
      <c r="F794">
        <v>76</v>
      </c>
      <c r="G794">
        <v>33</v>
      </c>
      <c r="H794">
        <v>40</v>
      </c>
      <c r="I794">
        <v>46</v>
      </c>
      <c r="J794" t="s">
        <v>1359</v>
      </c>
      <c r="L794"/>
      <c r="M794" s="190"/>
    </row>
    <row r="795" spans="1:13">
      <c r="A795" t="s">
        <v>911</v>
      </c>
      <c r="B795">
        <v>3254</v>
      </c>
      <c r="C795">
        <v>33</v>
      </c>
      <c r="D795">
        <v>17</v>
      </c>
      <c r="E795">
        <v>95</v>
      </c>
      <c r="F795">
        <v>67</v>
      </c>
      <c r="G795">
        <v>-13</v>
      </c>
      <c r="H795">
        <v>-6</v>
      </c>
      <c r="I795">
        <v>0</v>
      </c>
      <c r="J795" t="s">
        <v>1033</v>
      </c>
    </row>
    <row r="796" spans="1:13">
      <c r="A796" t="s">
        <v>912</v>
      </c>
      <c r="B796">
        <v>3338</v>
      </c>
      <c r="C796">
        <v>33</v>
      </c>
      <c r="D796">
        <v>18</v>
      </c>
      <c r="E796">
        <v>95</v>
      </c>
      <c r="F796">
        <v>67</v>
      </c>
      <c r="G796">
        <v>-14</v>
      </c>
      <c r="H796">
        <v>-7</v>
      </c>
      <c r="I796">
        <v>-1</v>
      </c>
      <c r="J796" t="s">
        <v>1033</v>
      </c>
    </row>
    <row r="797" spans="1:13">
      <c r="A797" t="s">
        <v>913</v>
      </c>
      <c r="B797">
        <v>277</v>
      </c>
      <c r="C797">
        <v>31</v>
      </c>
      <c r="D797">
        <v>27</v>
      </c>
      <c r="E797">
        <v>95</v>
      </c>
      <c r="F797">
        <v>77</v>
      </c>
      <c r="G797">
        <v>42</v>
      </c>
      <c r="H797">
        <v>49</v>
      </c>
      <c r="I797">
        <v>55</v>
      </c>
      <c r="J797" t="s">
        <v>1359</v>
      </c>
    </row>
    <row r="798" spans="1:13">
      <c r="A798" t="s">
        <v>914</v>
      </c>
      <c r="B798">
        <v>4859</v>
      </c>
      <c r="C798">
        <v>30</v>
      </c>
      <c r="D798">
        <v>19</v>
      </c>
      <c r="E798">
        <v>92</v>
      </c>
      <c r="F798">
        <v>61</v>
      </c>
      <c r="G798">
        <v>-39</v>
      </c>
      <c r="H798">
        <v>-32</v>
      </c>
      <c r="I798">
        <v>-26</v>
      </c>
      <c r="J798" t="s">
        <v>1033</v>
      </c>
    </row>
    <row r="799" spans="1:13">
      <c r="A799" t="s">
        <v>915</v>
      </c>
      <c r="B799">
        <v>108</v>
      </c>
      <c r="C799">
        <v>26</v>
      </c>
      <c r="D799">
        <v>40</v>
      </c>
      <c r="E799">
        <v>98</v>
      </c>
      <c r="F799">
        <v>76</v>
      </c>
      <c r="G799">
        <v>31</v>
      </c>
      <c r="H799">
        <v>38</v>
      </c>
      <c r="I799">
        <v>44</v>
      </c>
      <c r="J799" t="s">
        <v>1359</v>
      </c>
    </row>
    <row r="800" spans="1:13">
      <c r="A800" t="s">
        <v>916</v>
      </c>
      <c r="B800">
        <v>2851</v>
      </c>
      <c r="C800">
        <v>32</v>
      </c>
      <c r="D800">
        <v>22</v>
      </c>
      <c r="E800">
        <v>97</v>
      </c>
      <c r="F800">
        <v>67</v>
      </c>
      <c r="G800">
        <v>-19</v>
      </c>
      <c r="H800">
        <v>-12</v>
      </c>
      <c r="I800">
        <v>-6</v>
      </c>
      <c r="J800" t="s">
        <v>1033</v>
      </c>
    </row>
    <row r="801" spans="1:10">
      <c r="A801" t="s">
        <v>917</v>
      </c>
      <c r="B801">
        <v>972</v>
      </c>
      <c r="C801">
        <v>32</v>
      </c>
      <c r="D801">
        <v>22</v>
      </c>
      <c r="E801">
        <v>99</v>
      </c>
      <c r="F801">
        <v>74</v>
      </c>
      <c r="G801">
        <v>17</v>
      </c>
      <c r="H801">
        <v>24</v>
      </c>
      <c r="I801">
        <v>30</v>
      </c>
      <c r="J801" t="s">
        <v>1359</v>
      </c>
    </row>
    <row r="802" spans="1:10">
      <c r="A802" t="s">
        <v>918</v>
      </c>
      <c r="B802">
        <v>422</v>
      </c>
      <c r="C802">
        <v>31</v>
      </c>
      <c r="D802">
        <v>27</v>
      </c>
      <c r="E802">
        <v>98</v>
      </c>
      <c r="F802">
        <v>76</v>
      </c>
      <c r="G802">
        <v>31</v>
      </c>
      <c r="H802">
        <v>38</v>
      </c>
      <c r="I802">
        <v>44</v>
      </c>
      <c r="J802" t="s">
        <v>1359</v>
      </c>
    </row>
    <row r="803" spans="1:10">
      <c r="A803" t="s">
        <v>919</v>
      </c>
      <c r="B803">
        <v>3244</v>
      </c>
      <c r="C803">
        <v>35</v>
      </c>
      <c r="D803">
        <v>12</v>
      </c>
      <c r="E803">
        <v>96</v>
      </c>
      <c r="F803">
        <v>67</v>
      </c>
      <c r="G803">
        <v>-15</v>
      </c>
      <c r="H803">
        <v>-8</v>
      </c>
      <c r="I803">
        <v>-2</v>
      </c>
      <c r="J803" t="s">
        <v>1033</v>
      </c>
    </row>
    <row r="804" spans="1:10">
      <c r="A804" t="s">
        <v>920</v>
      </c>
      <c r="B804">
        <v>2611</v>
      </c>
      <c r="C804">
        <v>31</v>
      </c>
      <c r="D804">
        <v>21</v>
      </c>
      <c r="E804">
        <v>98</v>
      </c>
      <c r="F804">
        <v>69</v>
      </c>
      <c r="G804">
        <v>-10</v>
      </c>
      <c r="H804">
        <v>-3</v>
      </c>
      <c r="I804">
        <v>3</v>
      </c>
      <c r="J804" t="s">
        <v>1033</v>
      </c>
    </row>
    <row r="805" spans="1:10">
      <c r="A805" t="s">
        <v>921</v>
      </c>
      <c r="B805">
        <v>3374</v>
      </c>
      <c r="C805">
        <v>34</v>
      </c>
      <c r="D805">
        <v>13</v>
      </c>
      <c r="E805">
        <v>96</v>
      </c>
      <c r="F805">
        <v>68</v>
      </c>
      <c r="G805">
        <v>-10</v>
      </c>
      <c r="H805">
        <v>-3</v>
      </c>
      <c r="I805">
        <v>3</v>
      </c>
      <c r="J805" t="s">
        <v>1033</v>
      </c>
    </row>
    <row r="806" spans="1:10">
      <c r="A806" t="s">
        <v>922</v>
      </c>
      <c r="B806">
        <v>16</v>
      </c>
      <c r="C806">
        <v>30</v>
      </c>
      <c r="D806">
        <v>31</v>
      </c>
      <c r="E806">
        <v>93</v>
      </c>
      <c r="F806">
        <v>78</v>
      </c>
      <c r="G806">
        <v>52</v>
      </c>
      <c r="H806">
        <v>59</v>
      </c>
      <c r="I806">
        <v>65</v>
      </c>
      <c r="J806" t="s">
        <v>1359</v>
      </c>
    </row>
    <row r="807" spans="1:10">
      <c r="A807" t="s">
        <v>923</v>
      </c>
      <c r="B807">
        <v>1877</v>
      </c>
      <c r="C807">
        <v>31</v>
      </c>
      <c r="D807">
        <v>24</v>
      </c>
      <c r="E807">
        <v>97</v>
      </c>
      <c r="F807">
        <v>70</v>
      </c>
      <c r="G807">
        <v>-3</v>
      </c>
      <c r="H807">
        <v>4</v>
      </c>
      <c r="I807">
        <v>10</v>
      </c>
      <c r="J807" t="s">
        <v>1359</v>
      </c>
    </row>
    <row r="808" spans="1:10">
      <c r="A808" t="s">
        <v>924</v>
      </c>
      <c r="B808">
        <v>788</v>
      </c>
      <c r="C808">
        <v>29</v>
      </c>
      <c r="D808">
        <v>30</v>
      </c>
      <c r="E808">
        <v>96</v>
      </c>
      <c r="F808">
        <v>73</v>
      </c>
      <c r="G808">
        <v>16</v>
      </c>
      <c r="H808">
        <v>23</v>
      </c>
      <c r="I808">
        <v>29</v>
      </c>
      <c r="J808" t="s">
        <v>1359</v>
      </c>
    </row>
    <row r="809" spans="1:10">
      <c r="A809" t="s">
        <v>925</v>
      </c>
      <c r="B809">
        <v>690</v>
      </c>
      <c r="C809">
        <v>29</v>
      </c>
      <c r="D809">
        <v>32</v>
      </c>
      <c r="E809">
        <v>97</v>
      </c>
      <c r="F809">
        <v>74</v>
      </c>
      <c r="G809">
        <v>20</v>
      </c>
      <c r="H809">
        <v>27</v>
      </c>
      <c r="I809">
        <v>33</v>
      </c>
      <c r="J809" t="s">
        <v>1359</v>
      </c>
    </row>
    <row r="810" spans="1:10">
      <c r="A810" t="s">
        <v>926</v>
      </c>
      <c r="B810">
        <v>761</v>
      </c>
      <c r="C810">
        <v>29</v>
      </c>
      <c r="D810">
        <v>31</v>
      </c>
      <c r="E810">
        <v>96</v>
      </c>
      <c r="F810">
        <v>74</v>
      </c>
      <c r="G810">
        <v>22</v>
      </c>
      <c r="H810">
        <v>29</v>
      </c>
      <c r="I810">
        <v>35</v>
      </c>
      <c r="J810" t="s">
        <v>1359</v>
      </c>
    </row>
    <row r="811" spans="1:10">
      <c r="A811" t="s">
        <v>927</v>
      </c>
      <c r="B811">
        <v>2838</v>
      </c>
      <c r="C811">
        <v>30</v>
      </c>
      <c r="D811">
        <v>28</v>
      </c>
      <c r="E811">
        <v>95</v>
      </c>
      <c r="F811">
        <v>68</v>
      </c>
      <c r="G811">
        <v>-11</v>
      </c>
      <c r="H811">
        <v>-4</v>
      </c>
      <c r="I811">
        <v>2</v>
      </c>
      <c r="J811" t="s">
        <v>1359</v>
      </c>
    </row>
    <row r="812" spans="1:10">
      <c r="A812" t="s">
        <v>928</v>
      </c>
      <c r="B812">
        <v>763</v>
      </c>
      <c r="C812">
        <v>33</v>
      </c>
      <c r="D812">
        <v>20</v>
      </c>
      <c r="E812">
        <v>98</v>
      </c>
      <c r="F812">
        <v>75</v>
      </c>
      <c r="G812">
        <v>25</v>
      </c>
      <c r="H812">
        <v>32</v>
      </c>
      <c r="I812">
        <v>38</v>
      </c>
      <c r="J812" t="s">
        <v>1359</v>
      </c>
    </row>
    <row r="813" spans="1:10">
      <c r="A813" t="s">
        <v>929</v>
      </c>
      <c r="B813">
        <v>2430</v>
      </c>
      <c r="C813">
        <v>32</v>
      </c>
      <c r="D813">
        <v>18</v>
      </c>
      <c r="E813">
        <v>98</v>
      </c>
      <c r="F813">
        <v>70</v>
      </c>
      <c r="G813">
        <v>-5</v>
      </c>
      <c r="H813">
        <v>2</v>
      </c>
      <c r="I813">
        <v>8</v>
      </c>
      <c r="J813" t="s">
        <v>1359</v>
      </c>
    </row>
    <row r="814" spans="1:10">
      <c r="A814" t="s">
        <v>930</v>
      </c>
      <c r="B814">
        <v>682</v>
      </c>
      <c r="C814">
        <v>31</v>
      </c>
      <c r="D814">
        <v>27</v>
      </c>
      <c r="E814">
        <v>99</v>
      </c>
      <c r="F814">
        <v>74</v>
      </c>
      <c r="G814">
        <v>17</v>
      </c>
      <c r="H814">
        <v>24</v>
      </c>
      <c r="I814">
        <v>30</v>
      </c>
      <c r="J814" t="s">
        <v>1359</v>
      </c>
    </row>
    <row r="815" spans="1:10">
      <c r="A815" t="s">
        <v>931</v>
      </c>
      <c r="B815">
        <v>544</v>
      </c>
      <c r="C815">
        <v>32</v>
      </c>
      <c r="D815">
        <v>24</v>
      </c>
      <c r="E815">
        <v>97</v>
      </c>
      <c r="F815">
        <v>76</v>
      </c>
      <c r="G815">
        <v>33</v>
      </c>
      <c r="H815">
        <v>40</v>
      </c>
      <c r="I815">
        <v>46</v>
      </c>
      <c r="J815" t="s">
        <v>1359</v>
      </c>
    </row>
    <row r="816" spans="1:10">
      <c r="A816" t="s">
        <v>932</v>
      </c>
      <c r="B816">
        <v>1264</v>
      </c>
      <c r="C816">
        <v>34</v>
      </c>
      <c r="D816">
        <v>17</v>
      </c>
      <c r="E816">
        <v>100</v>
      </c>
      <c r="F816">
        <v>73</v>
      </c>
      <c r="G816">
        <v>9</v>
      </c>
      <c r="H816">
        <v>16</v>
      </c>
      <c r="I816">
        <v>22</v>
      </c>
      <c r="J816" t="s">
        <v>1359</v>
      </c>
    </row>
    <row r="817" spans="1:10">
      <c r="A817" t="s">
        <v>933</v>
      </c>
      <c r="B817">
        <v>115</v>
      </c>
      <c r="C817">
        <v>28</v>
      </c>
      <c r="D817">
        <v>33</v>
      </c>
      <c r="E817">
        <v>94</v>
      </c>
      <c r="F817">
        <v>76</v>
      </c>
      <c r="G817">
        <v>37</v>
      </c>
      <c r="H817">
        <v>44</v>
      </c>
      <c r="I817">
        <v>50</v>
      </c>
      <c r="J817" t="s">
        <v>1359</v>
      </c>
    </row>
    <row r="818" spans="1:10">
      <c r="A818" t="s">
        <v>934</v>
      </c>
      <c r="B818">
        <v>501</v>
      </c>
      <c r="C818">
        <v>31</v>
      </c>
      <c r="D818">
        <v>26</v>
      </c>
      <c r="E818">
        <v>99</v>
      </c>
      <c r="F818">
        <v>75</v>
      </c>
      <c r="G818">
        <v>23</v>
      </c>
      <c r="H818">
        <v>30</v>
      </c>
      <c r="I818">
        <v>36</v>
      </c>
      <c r="J818" t="s">
        <v>1359</v>
      </c>
    </row>
    <row r="819" spans="1:10">
      <c r="A819" t="s">
        <v>935</v>
      </c>
      <c r="B819">
        <v>994</v>
      </c>
      <c r="C819">
        <v>34</v>
      </c>
      <c r="D819">
        <v>19</v>
      </c>
      <c r="E819">
        <v>100</v>
      </c>
      <c r="F819">
        <v>73</v>
      </c>
      <c r="G819">
        <v>9</v>
      </c>
      <c r="H819">
        <v>16</v>
      </c>
      <c r="I819">
        <v>22</v>
      </c>
      <c r="J819" t="s">
        <v>1359</v>
      </c>
    </row>
    <row r="820" spans="1:10">
      <c r="A820" t="s">
        <v>936</v>
      </c>
      <c r="B820">
        <v>5626</v>
      </c>
      <c r="C820">
        <v>37</v>
      </c>
      <c r="D820">
        <v>8</v>
      </c>
      <c r="E820">
        <v>91</v>
      </c>
      <c r="F820">
        <v>59</v>
      </c>
      <c r="G820">
        <v>-47</v>
      </c>
      <c r="H820">
        <v>-40</v>
      </c>
      <c r="I820">
        <v>-34</v>
      </c>
      <c r="J820" t="s">
        <v>1033</v>
      </c>
    </row>
    <row r="821" spans="1:10">
      <c r="A821" t="s">
        <v>937</v>
      </c>
      <c r="B821">
        <v>4454</v>
      </c>
      <c r="C821">
        <v>41</v>
      </c>
      <c r="D821">
        <v>2</v>
      </c>
      <c r="E821">
        <v>91</v>
      </c>
      <c r="F821">
        <v>61</v>
      </c>
      <c r="G821">
        <v>-37</v>
      </c>
      <c r="H821">
        <v>-30</v>
      </c>
      <c r="I821">
        <v>-24</v>
      </c>
      <c r="J821" t="s">
        <v>1033</v>
      </c>
    </row>
    <row r="822" spans="1:10">
      <c r="A822" t="s">
        <v>938</v>
      </c>
      <c r="B822">
        <v>4553</v>
      </c>
      <c r="C822">
        <v>38</v>
      </c>
      <c r="D822">
        <v>11</v>
      </c>
      <c r="E822">
        <v>98</v>
      </c>
      <c r="F822">
        <v>60</v>
      </c>
      <c r="G822">
        <v>-53</v>
      </c>
      <c r="H822">
        <v>-46</v>
      </c>
      <c r="I822">
        <v>-40</v>
      </c>
      <c r="J822" t="s">
        <v>1033</v>
      </c>
    </row>
    <row r="823" spans="1:10">
      <c r="A823" t="s">
        <v>939</v>
      </c>
      <c r="B823">
        <v>4785</v>
      </c>
      <c r="C823">
        <v>41</v>
      </c>
      <c r="D823">
        <v>11</v>
      </c>
      <c r="E823">
        <v>90</v>
      </c>
      <c r="F823">
        <v>60</v>
      </c>
      <c r="G823">
        <v>-41</v>
      </c>
      <c r="H823">
        <v>-34</v>
      </c>
      <c r="I823">
        <v>-28</v>
      </c>
      <c r="J823" t="s">
        <v>1033</v>
      </c>
    </row>
    <row r="824" spans="1:10">
      <c r="A824" t="s">
        <v>940</v>
      </c>
      <c r="B824">
        <v>5921</v>
      </c>
      <c r="C824">
        <v>39</v>
      </c>
      <c r="D824">
        <v>5</v>
      </c>
      <c r="E824">
        <v>91</v>
      </c>
      <c r="F824">
        <v>60</v>
      </c>
      <c r="G824">
        <v>-42</v>
      </c>
      <c r="H824">
        <v>-35</v>
      </c>
      <c r="I824">
        <v>-29</v>
      </c>
      <c r="J824" t="s">
        <v>1033</v>
      </c>
    </row>
    <row r="825" spans="1:10">
      <c r="A825" t="s">
        <v>941</v>
      </c>
      <c r="B825">
        <v>4448</v>
      </c>
      <c r="C825">
        <v>40</v>
      </c>
      <c r="D825">
        <v>6</v>
      </c>
      <c r="E825">
        <v>96</v>
      </c>
      <c r="F825">
        <v>62</v>
      </c>
      <c r="G825">
        <v>-40</v>
      </c>
      <c r="H825">
        <v>-33</v>
      </c>
      <c r="I825">
        <v>-27</v>
      </c>
      <c r="J825" t="s">
        <v>1033</v>
      </c>
    </row>
    <row r="826" spans="1:10">
      <c r="A826" t="s">
        <v>942</v>
      </c>
      <c r="B826">
        <v>5279</v>
      </c>
      <c r="C826">
        <v>38</v>
      </c>
      <c r="D826">
        <v>5</v>
      </c>
      <c r="E826">
        <v>91</v>
      </c>
      <c r="F826">
        <v>60</v>
      </c>
      <c r="G826">
        <v>-42</v>
      </c>
      <c r="H826">
        <v>-35</v>
      </c>
      <c r="I826">
        <v>-29</v>
      </c>
      <c r="J826" t="s">
        <v>1033</v>
      </c>
    </row>
    <row r="827" spans="1:10">
      <c r="A827" s="701" t="s">
        <v>2747</v>
      </c>
      <c r="B827">
        <v>2941</v>
      </c>
      <c r="C827">
        <v>37</v>
      </c>
      <c r="D827">
        <v>21</v>
      </c>
      <c r="E827">
        <v>101</v>
      </c>
      <c r="F827">
        <v>65</v>
      </c>
      <c r="G827">
        <v>-36</v>
      </c>
      <c r="H827">
        <v>-29</v>
      </c>
      <c r="I827">
        <v>-23</v>
      </c>
      <c r="J827" t="s">
        <v>1033</v>
      </c>
    </row>
    <row r="828" spans="1:10">
      <c r="A828" t="s">
        <v>943</v>
      </c>
      <c r="B828">
        <v>4220</v>
      </c>
      <c r="C828">
        <v>40</v>
      </c>
      <c r="D828">
        <v>11</v>
      </c>
      <c r="E828">
        <v>94</v>
      </c>
      <c r="F828">
        <v>62</v>
      </c>
      <c r="G828">
        <v>-37</v>
      </c>
      <c r="H828">
        <v>-30</v>
      </c>
      <c r="I828">
        <v>-24</v>
      </c>
      <c r="J828" t="s">
        <v>1033</v>
      </c>
    </row>
    <row r="829" spans="1:10">
      <c r="A829" t="s">
        <v>944</v>
      </c>
      <c r="B829">
        <v>5274</v>
      </c>
      <c r="C829">
        <v>40</v>
      </c>
      <c r="D829">
        <v>0</v>
      </c>
      <c r="E829">
        <v>89</v>
      </c>
      <c r="F829">
        <v>60</v>
      </c>
      <c r="G829">
        <v>-39</v>
      </c>
      <c r="H829">
        <v>-32</v>
      </c>
      <c r="I829">
        <v>-26</v>
      </c>
      <c r="J829" t="s">
        <v>1033</v>
      </c>
    </row>
    <row r="830" spans="1:10">
      <c r="A830" t="s">
        <v>945</v>
      </c>
      <c r="B830">
        <v>1165</v>
      </c>
      <c r="C830">
        <v>44</v>
      </c>
      <c r="D830">
        <v>-11</v>
      </c>
      <c r="E830">
        <v>81</v>
      </c>
      <c r="F830">
        <v>69</v>
      </c>
      <c r="G830">
        <v>17</v>
      </c>
      <c r="H830">
        <v>24</v>
      </c>
      <c r="I830">
        <v>30</v>
      </c>
      <c r="J830" t="s">
        <v>1359</v>
      </c>
    </row>
    <row r="831" spans="1:10">
      <c r="A831" t="s">
        <v>946</v>
      </c>
      <c r="B831">
        <v>332</v>
      </c>
      <c r="C831">
        <v>44</v>
      </c>
      <c r="D831">
        <v>-6</v>
      </c>
      <c r="E831">
        <v>84</v>
      </c>
      <c r="F831">
        <v>69</v>
      </c>
      <c r="G831">
        <v>12</v>
      </c>
      <c r="H831">
        <v>19</v>
      </c>
      <c r="I831">
        <v>25</v>
      </c>
      <c r="J831" t="s">
        <v>1359</v>
      </c>
    </row>
    <row r="832" spans="1:10">
      <c r="A832" t="s">
        <v>947</v>
      </c>
      <c r="B832">
        <v>1165</v>
      </c>
      <c r="C832">
        <v>44</v>
      </c>
      <c r="D832">
        <v>-6</v>
      </c>
      <c r="E832">
        <v>83</v>
      </c>
      <c r="F832">
        <v>68</v>
      </c>
      <c r="G832">
        <v>8</v>
      </c>
      <c r="H832">
        <v>15</v>
      </c>
      <c r="I832">
        <v>21</v>
      </c>
      <c r="J832" t="s">
        <v>1359</v>
      </c>
    </row>
    <row r="833" spans="1:10">
      <c r="A833" t="s">
        <v>948</v>
      </c>
      <c r="B833">
        <v>787</v>
      </c>
      <c r="C833">
        <v>43</v>
      </c>
      <c r="D833">
        <v>-8</v>
      </c>
      <c r="E833">
        <v>84</v>
      </c>
      <c r="F833">
        <v>70</v>
      </c>
      <c r="G833">
        <v>18</v>
      </c>
      <c r="H833">
        <v>25</v>
      </c>
      <c r="I833">
        <v>31</v>
      </c>
      <c r="J833" t="s">
        <v>1359</v>
      </c>
    </row>
    <row r="834" spans="1:10">
      <c r="A834" t="s">
        <v>949</v>
      </c>
      <c r="B834">
        <v>870</v>
      </c>
      <c r="C834">
        <v>38</v>
      </c>
      <c r="D834">
        <v>18</v>
      </c>
      <c r="E834">
        <v>91</v>
      </c>
      <c r="F834">
        <v>74</v>
      </c>
      <c r="G834">
        <v>30</v>
      </c>
      <c r="H834">
        <v>37</v>
      </c>
      <c r="I834">
        <v>43</v>
      </c>
      <c r="J834" t="s">
        <v>1359</v>
      </c>
    </row>
    <row r="835" spans="1:10">
      <c r="A835" t="s">
        <v>950</v>
      </c>
      <c r="B835">
        <v>572</v>
      </c>
      <c r="C835">
        <v>36</v>
      </c>
      <c r="D835">
        <v>16</v>
      </c>
      <c r="E835">
        <v>92</v>
      </c>
      <c r="F835">
        <v>73</v>
      </c>
      <c r="G835">
        <v>22</v>
      </c>
      <c r="H835">
        <v>29</v>
      </c>
      <c r="I835">
        <v>35</v>
      </c>
      <c r="J835" t="s">
        <v>1359</v>
      </c>
    </row>
    <row r="836" spans="1:10">
      <c r="A836" t="s">
        <v>951</v>
      </c>
      <c r="B836">
        <v>69</v>
      </c>
      <c r="C836">
        <v>38</v>
      </c>
      <c r="D836">
        <v>18</v>
      </c>
      <c r="E836">
        <v>93</v>
      </c>
      <c r="F836">
        <v>76</v>
      </c>
      <c r="G836">
        <v>39</v>
      </c>
      <c r="H836">
        <v>46</v>
      </c>
      <c r="I836">
        <v>52</v>
      </c>
      <c r="J836" t="s">
        <v>1359</v>
      </c>
    </row>
    <row r="837" spans="1:10">
      <c r="A837" t="s">
        <v>952</v>
      </c>
      <c r="B837">
        <v>85</v>
      </c>
      <c r="C837">
        <v>38</v>
      </c>
      <c r="D837">
        <v>14</v>
      </c>
      <c r="E837">
        <v>93</v>
      </c>
      <c r="F837">
        <v>75</v>
      </c>
      <c r="G837">
        <v>33</v>
      </c>
      <c r="H837">
        <v>40</v>
      </c>
      <c r="I837">
        <v>46</v>
      </c>
      <c r="J837" t="s">
        <v>1359</v>
      </c>
    </row>
    <row r="838" spans="1:10">
      <c r="A838" t="s">
        <v>953</v>
      </c>
      <c r="B838">
        <v>10</v>
      </c>
      <c r="C838">
        <v>37</v>
      </c>
      <c r="D838">
        <v>24</v>
      </c>
      <c r="E838">
        <v>91</v>
      </c>
      <c r="F838">
        <v>77</v>
      </c>
      <c r="G838">
        <v>49</v>
      </c>
      <c r="H838">
        <v>56</v>
      </c>
      <c r="I838">
        <v>62</v>
      </c>
      <c r="J838" t="s">
        <v>1359</v>
      </c>
    </row>
    <row r="839" spans="1:10">
      <c r="A839" t="s">
        <v>954</v>
      </c>
      <c r="B839">
        <v>1201</v>
      </c>
      <c r="C839">
        <v>38</v>
      </c>
      <c r="D839">
        <v>16</v>
      </c>
      <c r="E839">
        <v>91</v>
      </c>
      <c r="F839">
        <v>72</v>
      </c>
      <c r="G839">
        <v>18</v>
      </c>
      <c r="H839">
        <v>25</v>
      </c>
      <c r="I839">
        <v>31</v>
      </c>
      <c r="J839" t="s">
        <v>1359</v>
      </c>
    </row>
    <row r="840" spans="1:10">
      <c r="A840" t="s">
        <v>955</v>
      </c>
      <c r="B840">
        <v>916</v>
      </c>
      <c r="C840">
        <v>37</v>
      </c>
      <c r="D840">
        <v>17</v>
      </c>
      <c r="E840">
        <v>90</v>
      </c>
      <c r="F840">
        <v>74</v>
      </c>
      <c r="G840">
        <v>31</v>
      </c>
      <c r="H840">
        <v>38</v>
      </c>
      <c r="I840">
        <v>44</v>
      </c>
      <c r="J840" t="s">
        <v>1359</v>
      </c>
    </row>
    <row r="841" spans="1:10">
      <c r="A841" t="s">
        <v>956</v>
      </c>
      <c r="B841">
        <v>41</v>
      </c>
      <c r="C841">
        <v>37</v>
      </c>
      <c r="D841">
        <v>22</v>
      </c>
      <c r="E841">
        <v>92</v>
      </c>
      <c r="F841">
        <v>77</v>
      </c>
      <c r="G841">
        <v>47</v>
      </c>
      <c r="H841">
        <v>54</v>
      </c>
      <c r="I841">
        <v>60</v>
      </c>
      <c r="J841" t="s">
        <v>1359</v>
      </c>
    </row>
    <row r="842" spans="1:10">
      <c r="A842" t="s">
        <v>957</v>
      </c>
      <c r="B842">
        <v>22</v>
      </c>
      <c r="C842">
        <v>36</v>
      </c>
      <c r="D842">
        <v>24</v>
      </c>
      <c r="E842">
        <v>91</v>
      </c>
      <c r="F842">
        <v>76</v>
      </c>
      <c r="G842">
        <v>42</v>
      </c>
      <c r="H842">
        <v>49</v>
      </c>
      <c r="I842">
        <v>55</v>
      </c>
      <c r="J842" t="s">
        <v>1359</v>
      </c>
    </row>
    <row r="843" spans="1:10">
      <c r="A843" t="s">
        <v>958</v>
      </c>
      <c r="B843">
        <v>22</v>
      </c>
      <c r="C843">
        <v>36</v>
      </c>
      <c r="D843">
        <v>25</v>
      </c>
      <c r="E843">
        <v>91</v>
      </c>
      <c r="F843">
        <v>76</v>
      </c>
      <c r="G843">
        <v>42</v>
      </c>
      <c r="H843">
        <v>49</v>
      </c>
      <c r="I843">
        <v>55</v>
      </c>
      <c r="J843" t="s">
        <v>1359</v>
      </c>
    </row>
    <row r="844" spans="1:10">
      <c r="A844" t="s">
        <v>959</v>
      </c>
      <c r="B844">
        <v>193</v>
      </c>
      <c r="C844">
        <v>37</v>
      </c>
      <c r="D844">
        <v>17</v>
      </c>
      <c r="E844">
        <v>92</v>
      </c>
      <c r="F844">
        <v>76</v>
      </c>
      <c r="G844">
        <v>41</v>
      </c>
      <c r="H844">
        <v>48</v>
      </c>
      <c r="I844">
        <v>54</v>
      </c>
      <c r="J844" t="s">
        <v>1359</v>
      </c>
    </row>
    <row r="845" spans="1:10">
      <c r="A845" t="s">
        <v>960</v>
      </c>
      <c r="B845">
        <v>12</v>
      </c>
      <c r="C845">
        <v>38</v>
      </c>
      <c r="D845">
        <v>21</v>
      </c>
      <c r="E845">
        <v>92</v>
      </c>
      <c r="F845">
        <v>76</v>
      </c>
      <c r="G845">
        <v>41</v>
      </c>
      <c r="H845">
        <v>48</v>
      </c>
      <c r="I845">
        <v>54</v>
      </c>
      <c r="J845" t="s">
        <v>1359</v>
      </c>
    </row>
    <row r="846" spans="1:10">
      <c r="A846" t="s">
        <v>961</v>
      </c>
      <c r="B846">
        <v>164</v>
      </c>
      <c r="C846">
        <v>37</v>
      </c>
      <c r="D846">
        <v>18</v>
      </c>
      <c r="E846">
        <v>92</v>
      </c>
      <c r="F846">
        <v>75</v>
      </c>
      <c r="G846">
        <v>34</v>
      </c>
      <c r="H846">
        <v>41</v>
      </c>
      <c r="I846">
        <v>47</v>
      </c>
      <c r="J846" t="s">
        <v>1359</v>
      </c>
    </row>
    <row r="847" spans="1:10">
      <c r="A847" t="s">
        <v>962</v>
      </c>
      <c r="B847">
        <v>1193</v>
      </c>
      <c r="C847">
        <v>37</v>
      </c>
      <c r="D847">
        <v>17</v>
      </c>
      <c r="E847">
        <v>89</v>
      </c>
      <c r="F847">
        <v>72</v>
      </c>
      <c r="G847">
        <v>21</v>
      </c>
      <c r="H847">
        <v>28</v>
      </c>
      <c r="I847">
        <v>34</v>
      </c>
      <c r="J847" t="s">
        <v>1359</v>
      </c>
    </row>
    <row r="848" spans="1:10">
      <c r="A848" t="s">
        <v>963</v>
      </c>
      <c r="B848">
        <v>1201</v>
      </c>
      <c r="C848">
        <v>38</v>
      </c>
      <c r="D848">
        <v>16</v>
      </c>
      <c r="E848">
        <v>91</v>
      </c>
      <c r="F848">
        <v>72</v>
      </c>
      <c r="G848">
        <v>18</v>
      </c>
      <c r="H848">
        <v>25</v>
      </c>
      <c r="I848">
        <v>31</v>
      </c>
      <c r="J848" t="s">
        <v>1359</v>
      </c>
    </row>
    <row r="849" spans="1:10">
      <c r="A849" t="s">
        <v>964</v>
      </c>
      <c r="B849">
        <v>322</v>
      </c>
      <c r="C849">
        <v>38</v>
      </c>
      <c r="D849">
        <v>14</v>
      </c>
      <c r="E849">
        <v>90</v>
      </c>
      <c r="F849">
        <v>74</v>
      </c>
      <c r="G849">
        <v>31</v>
      </c>
      <c r="H849">
        <v>38</v>
      </c>
      <c r="I849">
        <v>44</v>
      </c>
      <c r="J849" t="s">
        <v>1359</v>
      </c>
    </row>
    <row r="850" spans="1:10">
      <c r="A850" t="s">
        <v>965</v>
      </c>
      <c r="B850">
        <v>66</v>
      </c>
      <c r="C850">
        <v>38</v>
      </c>
      <c r="D850">
        <v>20</v>
      </c>
      <c r="E850">
        <v>92</v>
      </c>
      <c r="F850">
        <v>76</v>
      </c>
      <c r="G850">
        <v>41</v>
      </c>
      <c r="H850">
        <v>48</v>
      </c>
      <c r="I850">
        <v>54</v>
      </c>
      <c r="J850" t="s">
        <v>1359</v>
      </c>
    </row>
    <row r="851" spans="1:10">
      <c r="A851" t="s">
        <v>966</v>
      </c>
      <c r="B851">
        <v>727</v>
      </c>
      <c r="C851">
        <v>39</v>
      </c>
      <c r="D851">
        <v>10</v>
      </c>
      <c r="E851">
        <v>90</v>
      </c>
      <c r="F851">
        <v>74</v>
      </c>
      <c r="G851">
        <v>31</v>
      </c>
      <c r="H851">
        <v>38</v>
      </c>
      <c r="I851">
        <v>44</v>
      </c>
      <c r="J851" t="s">
        <v>1359</v>
      </c>
    </row>
    <row r="852" spans="1:10">
      <c r="A852" t="s">
        <v>967</v>
      </c>
      <c r="B852">
        <v>12</v>
      </c>
      <c r="C852">
        <v>47</v>
      </c>
      <c r="D852">
        <v>28</v>
      </c>
      <c r="E852">
        <v>77</v>
      </c>
      <c r="F852">
        <v>62</v>
      </c>
      <c r="G852">
        <v>-12</v>
      </c>
      <c r="H852">
        <v>-5</v>
      </c>
      <c r="I852">
        <v>1</v>
      </c>
      <c r="J852" t="s">
        <v>1359</v>
      </c>
    </row>
    <row r="853" spans="1:10">
      <c r="A853" t="s">
        <v>968</v>
      </c>
      <c r="B853">
        <v>158</v>
      </c>
      <c r="C853">
        <v>48</v>
      </c>
      <c r="D853">
        <v>21</v>
      </c>
      <c r="E853">
        <v>76</v>
      </c>
      <c r="F853">
        <v>64</v>
      </c>
      <c r="G853">
        <v>-1</v>
      </c>
      <c r="H853">
        <v>6</v>
      </c>
      <c r="I853">
        <v>12</v>
      </c>
      <c r="J853" t="s">
        <v>1359</v>
      </c>
    </row>
    <row r="854" spans="1:10">
      <c r="A854" t="s">
        <v>969</v>
      </c>
      <c r="B854">
        <v>7</v>
      </c>
      <c r="C854">
        <v>47</v>
      </c>
      <c r="D854">
        <v>25</v>
      </c>
      <c r="E854">
        <v>78</v>
      </c>
      <c r="F854">
        <v>64</v>
      </c>
      <c r="G854">
        <v>-4</v>
      </c>
      <c r="H854">
        <v>3</v>
      </c>
      <c r="I854">
        <v>9</v>
      </c>
      <c r="J854" t="s">
        <v>1359</v>
      </c>
    </row>
    <row r="855" spans="1:10">
      <c r="A855" t="s">
        <v>970</v>
      </c>
      <c r="B855">
        <v>1760</v>
      </c>
      <c r="C855">
        <v>47</v>
      </c>
      <c r="D855">
        <v>6</v>
      </c>
      <c r="E855">
        <v>91</v>
      </c>
      <c r="F855">
        <v>64</v>
      </c>
      <c r="G855">
        <v>-25</v>
      </c>
      <c r="H855">
        <v>-18</v>
      </c>
      <c r="I855">
        <v>-12</v>
      </c>
      <c r="J855" t="s">
        <v>1033</v>
      </c>
    </row>
    <row r="856" spans="1:10">
      <c r="A856" t="s">
        <v>971</v>
      </c>
      <c r="B856">
        <v>596</v>
      </c>
      <c r="C856">
        <v>47</v>
      </c>
      <c r="D856">
        <v>25</v>
      </c>
      <c r="E856">
        <v>76</v>
      </c>
      <c r="F856">
        <v>64</v>
      </c>
      <c r="G856">
        <v>-1</v>
      </c>
      <c r="H856">
        <v>6</v>
      </c>
      <c r="I856">
        <v>12</v>
      </c>
      <c r="J856" t="s">
        <v>1359</v>
      </c>
    </row>
    <row r="857" spans="1:10">
      <c r="A857" t="s">
        <v>972</v>
      </c>
      <c r="B857">
        <v>732</v>
      </c>
      <c r="C857">
        <v>46</v>
      </c>
      <c r="D857">
        <v>12</v>
      </c>
      <c r="E857">
        <v>96</v>
      </c>
      <c r="F857">
        <v>65</v>
      </c>
      <c r="G857">
        <v>-28</v>
      </c>
      <c r="H857">
        <v>-21</v>
      </c>
      <c r="I857">
        <v>-15</v>
      </c>
      <c r="J857" t="s">
        <v>1033</v>
      </c>
    </row>
    <row r="858" spans="1:10">
      <c r="A858" t="s">
        <v>973</v>
      </c>
      <c r="B858">
        <v>531</v>
      </c>
      <c r="C858">
        <v>46</v>
      </c>
      <c r="D858">
        <v>11</v>
      </c>
      <c r="E858">
        <v>96</v>
      </c>
      <c r="F858">
        <v>67</v>
      </c>
      <c r="G858">
        <v>-18</v>
      </c>
      <c r="H858">
        <v>-11</v>
      </c>
      <c r="I858">
        <v>-5</v>
      </c>
      <c r="J858" t="s">
        <v>1033</v>
      </c>
    </row>
    <row r="859" spans="1:10">
      <c r="A859" t="s">
        <v>974</v>
      </c>
      <c r="B859">
        <v>12</v>
      </c>
      <c r="C859">
        <v>46</v>
      </c>
      <c r="D859">
        <v>24</v>
      </c>
      <c r="E859">
        <v>85</v>
      </c>
      <c r="F859">
        <v>67</v>
      </c>
      <c r="G859">
        <v>0</v>
      </c>
      <c r="H859">
        <v>7</v>
      </c>
      <c r="I859">
        <v>13</v>
      </c>
      <c r="J859" t="s">
        <v>1359</v>
      </c>
    </row>
    <row r="860" spans="1:10">
      <c r="A860" t="s">
        <v>975</v>
      </c>
      <c r="B860">
        <v>1185</v>
      </c>
      <c r="C860">
        <v>47</v>
      </c>
      <c r="D860">
        <v>7</v>
      </c>
      <c r="E860">
        <v>94</v>
      </c>
      <c r="F860">
        <v>65</v>
      </c>
      <c r="G860">
        <v>-25</v>
      </c>
      <c r="H860">
        <v>-18</v>
      </c>
      <c r="I860">
        <v>-12</v>
      </c>
      <c r="J860" t="s">
        <v>1033</v>
      </c>
    </row>
    <row r="861" spans="1:10">
      <c r="A861" t="s">
        <v>976</v>
      </c>
      <c r="B861">
        <v>215</v>
      </c>
      <c r="C861">
        <v>47</v>
      </c>
      <c r="D861">
        <v>23</v>
      </c>
      <c r="E861">
        <v>83</v>
      </c>
      <c r="F861">
        <v>65</v>
      </c>
      <c r="G861">
        <v>-7</v>
      </c>
      <c r="H861">
        <v>0</v>
      </c>
      <c r="I861">
        <v>6</v>
      </c>
      <c r="J861" t="s">
        <v>1359</v>
      </c>
    </row>
    <row r="862" spans="1:10">
      <c r="A862" t="s">
        <v>977</v>
      </c>
      <c r="B862">
        <v>288</v>
      </c>
      <c r="C862">
        <v>48</v>
      </c>
      <c r="D862">
        <v>27</v>
      </c>
      <c r="E862">
        <v>69</v>
      </c>
      <c r="F862">
        <v>61</v>
      </c>
      <c r="G862">
        <v>-4</v>
      </c>
      <c r="H862">
        <v>3</v>
      </c>
      <c r="I862">
        <v>9</v>
      </c>
      <c r="J862" t="s">
        <v>1359</v>
      </c>
    </row>
    <row r="863" spans="1:10">
      <c r="A863" t="s">
        <v>978</v>
      </c>
      <c r="B863">
        <v>201</v>
      </c>
      <c r="C863">
        <v>47</v>
      </c>
      <c r="D863">
        <v>27</v>
      </c>
      <c r="E863">
        <v>74</v>
      </c>
      <c r="F863">
        <v>61</v>
      </c>
      <c r="G863">
        <v>-12</v>
      </c>
      <c r="H863">
        <v>-5</v>
      </c>
      <c r="I863">
        <v>1</v>
      </c>
      <c r="J863" t="s">
        <v>1359</v>
      </c>
    </row>
    <row r="864" spans="1:10">
      <c r="A864" t="s">
        <v>979</v>
      </c>
      <c r="B864">
        <v>18</v>
      </c>
      <c r="C864">
        <v>47</v>
      </c>
      <c r="D864">
        <v>28</v>
      </c>
      <c r="E864">
        <v>81</v>
      </c>
      <c r="F864">
        <v>64</v>
      </c>
      <c r="G864">
        <v>-9</v>
      </c>
      <c r="H864">
        <v>-2</v>
      </c>
      <c r="I864">
        <v>4</v>
      </c>
      <c r="J864" t="s">
        <v>1359</v>
      </c>
    </row>
    <row r="865" spans="1:10">
      <c r="A865" t="s">
        <v>980</v>
      </c>
      <c r="B865">
        <v>14</v>
      </c>
      <c r="C865">
        <v>47</v>
      </c>
      <c r="D865">
        <v>27</v>
      </c>
      <c r="E865">
        <v>82</v>
      </c>
      <c r="F865">
        <v>66</v>
      </c>
      <c r="G865">
        <v>0</v>
      </c>
      <c r="H865">
        <v>7</v>
      </c>
      <c r="I865">
        <v>13</v>
      </c>
      <c r="J865" t="s">
        <v>1359</v>
      </c>
    </row>
    <row r="866" spans="1:10">
      <c r="A866" t="s">
        <v>981</v>
      </c>
      <c r="B866">
        <v>429</v>
      </c>
      <c r="C866">
        <v>47</v>
      </c>
      <c r="D866">
        <v>26</v>
      </c>
      <c r="E866">
        <v>80</v>
      </c>
      <c r="F866">
        <v>64</v>
      </c>
      <c r="G866">
        <v>-7</v>
      </c>
      <c r="H866">
        <v>0</v>
      </c>
      <c r="I866">
        <v>6</v>
      </c>
      <c r="J866" t="s">
        <v>1359</v>
      </c>
    </row>
    <row r="867" spans="1:10">
      <c r="A867" t="s">
        <v>982</v>
      </c>
      <c r="B867">
        <v>2366</v>
      </c>
      <c r="C867">
        <v>47</v>
      </c>
      <c r="D867">
        <v>7</v>
      </c>
      <c r="E867">
        <v>89</v>
      </c>
      <c r="F867">
        <v>61</v>
      </c>
      <c r="G867">
        <v>-36</v>
      </c>
      <c r="H867">
        <v>-29</v>
      </c>
      <c r="I867">
        <v>-23</v>
      </c>
      <c r="J867" t="s">
        <v>1359</v>
      </c>
    </row>
    <row r="868" spans="1:10">
      <c r="A868" t="s">
        <v>983</v>
      </c>
      <c r="B868">
        <v>3967</v>
      </c>
      <c r="C868">
        <v>47</v>
      </c>
      <c r="D868">
        <v>10</v>
      </c>
      <c r="E868">
        <v>74</v>
      </c>
      <c r="F868">
        <v>56</v>
      </c>
      <c r="J868" t="s">
        <v>1359</v>
      </c>
    </row>
    <row r="869" spans="1:10">
      <c r="A869" t="s">
        <v>984</v>
      </c>
      <c r="B869">
        <v>322</v>
      </c>
      <c r="C869">
        <v>47</v>
      </c>
      <c r="D869">
        <v>24</v>
      </c>
      <c r="E869">
        <v>82</v>
      </c>
      <c r="F869">
        <v>63</v>
      </c>
      <c r="G869">
        <v>-15</v>
      </c>
      <c r="H869">
        <v>-8</v>
      </c>
      <c r="I869">
        <v>-2</v>
      </c>
      <c r="J869" t="s">
        <v>1359</v>
      </c>
    </row>
    <row r="870" spans="1:10">
      <c r="A870" t="s">
        <v>985</v>
      </c>
      <c r="B870">
        <v>1206</v>
      </c>
      <c r="C870">
        <v>46</v>
      </c>
      <c r="D870">
        <v>12</v>
      </c>
      <c r="E870">
        <v>95</v>
      </c>
      <c r="F870">
        <v>65</v>
      </c>
      <c r="G870">
        <v>-26</v>
      </c>
      <c r="H870">
        <v>-19</v>
      </c>
      <c r="I870">
        <v>-13</v>
      </c>
      <c r="J870" t="s">
        <v>1033</v>
      </c>
    </row>
    <row r="871" spans="1:10">
      <c r="A871" t="s">
        <v>986</v>
      </c>
      <c r="B871">
        <v>1243</v>
      </c>
      <c r="C871">
        <v>47</v>
      </c>
      <c r="D871">
        <v>9</v>
      </c>
      <c r="E871">
        <v>92</v>
      </c>
      <c r="F871">
        <v>65</v>
      </c>
      <c r="G871">
        <v>-21</v>
      </c>
      <c r="H871">
        <v>-14</v>
      </c>
      <c r="I871">
        <v>-8</v>
      </c>
      <c r="J871" t="s">
        <v>1033</v>
      </c>
    </row>
    <row r="872" spans="1:10">
      <c r="A872" t="s">
        <v>987</v>
      </c>
      <c r="B872">
        <v>1052</v>
      </c>
      <c r="C872">
        <v>46</v>
      </c>
      <c r="D872">
        <v>11</v>
      </c>
      <c r="E872">
        <v>92</v>
      </c>
      <c r="F872">
        <v>64</v>
      </c>
      <c r="G872">
        <v>-26</v>
      </c>
      <c r="H872">
        <v>-19</v>
      </c>
      <c r="I872">
        <v>-13</v>
      </c>
      <c r="J872" t="s">
        <v>1033</v>
      </c>
    </row>
    <row r="873" spans="1:10">
      <c r="A873" t="s">
        <v>988</v>
      </c>
      <c r="B873">
        <v>2504</v>
      </c>
      <c r="C873">
        <v>37</v>
      </c>
      <c r="D873">
        <v>4</v>
      </c>
      <c r="E873">
        <v>81</v>
      </c>
      <c r="F873">
        <v>69</v>
      </c>
      <c r="G873">
        <v>17</v>
      </c>
      <c r="H873">
        <v>24</v>
      </c>
      <c r="I873">
        <v>30</v>
      </c>
      <c r="J873" t="s">
        <v>1359</v>
      </c>
    </row>
    <row r="874" spans="1:10">
      <c r="A874" t="s">
        <v>989</v>
      </c>
      <c r="B874">
        <v>2858</v>
      </c>
      <c r="C874">
        <v>37</v>
      </c>
      <c r="D874">
        <v>12</v>
      </c>
      <c r="E874">
        <v>83</v>
      </c>
      <c r="F874">
        <v>69</v>
      </c>
      <c r="G874">
        <v>14</v>
      </c>
      <c r="H874">
        <v>21</v>
      </c>
      <c r="I874">
        <v>27</v>
      </c>
      <c r="J874" t="s">
        <v>1359</v>
      </c>
    </row>
    <row r="875" spans="1:10">
      <c r="A875" t="s">
        <v>990</v>
      </c>
      <c r="B875">
        <v>939</v>
      </c>
      <c r="C875">
        <v>38</v>
      </c>
      <c r="D875">
        <v>11</v>
      </c>
      <c r="E875">
        <v>88</v>
      </c>
      <c r="F875">
        <v>73</v>
      </c>
      <c r="G875">
        <v>29</v>
      </c>
      <c r="H875">
        <v>36</v>
      </c>
      <c r="I875">
        <v>42</v>
      </c>
      <c r="J875" t="s">
        <v>1359</v>
      </c>
    </row>
    <row r="876" spans="1:10">
      <c r="A876" t="s">
        <v>991</v>
      </c>
      <c r="B876">
        <v>1203</v>
      </c>
      <c r="C876">
        <v>39</v>
      </c>
      <c r="D876">
        <v>10</v>
      </c>
      <c r="E876">
        <v>90</v>
      </c>
      <c r="F876">
        <v>73</v>
      </c>
      <c r="G876">
        <v>25</v>
      </c>
      <c r="H876">
        <v>32</v>
      </c>
      <c r="I876">
        <v>38</v>
      </c>
      <c r="J876" t="s">
        <v>1359</v>
      </c>
    </row>
    <row r="877" spans="1:10">
      <c r="A877" t="s">
        <v>992</v>
      </c>
      <c r="B877">
        <v>1948</v>
      </c>
      <c r="C877">
        <v>38</v>
      </c>
      <c r="D877">
        <v>5</v>
      </c>
      <c r="E877">
        <v>83</v>
      </c>
      <c r="F877">
        <v>70</v>
      </c>
      <c r="G877">
        <v>19</v>
      </c>
      <c r="H877">
        <v>26</v>
      </c>
      <c r="I877">
        <v>32</v>
      </c>
      <c r="J877" t="s">
        <v>1359</v>
      </c>
    </row>
    <row r="878" spans="1:10">
      <c r="A878" t="s">
        <v>993</v>
      </c>
      <c r="B878">
        <v>828</v>
      </c>
      <c r="C878">
        <v>38</v>
      </c>
      <c r="D878">
        <v>11</v>
      </c>
      <c r="E878">
        <v>89</v>
      </c>
      <c r="F878">
        <v>73</v>
      </c>
      <c r="G878">
        <v>27</v>
      </c>
      <c r="H878">
        <v>34</v>
      </c>
      <c r="I878">
        <v>40</v>
      </c>
      <c r="J878" t="s">
        <v>1359</v>
      </c>
    </row>
    <row r="879" spans="1:10">
      <c r="A879" t="s">
        <v>994</v>
      </c>
      <c r="B879">
        <v>556</v>
      </c>
      <c r="C879">
        <v>39</v>
      </c>
      <c r="D879">
        <v>14</v>
      </c>
      <c r="E879">
        <v>91</v>
      </c>
      <c r="F879">
        <v>73</v>
      </c>
      <c r="G879">
        <v>24</v>
      </c>
      <c r="H879">
        <v>33</v>
      </c>
      <c r="I879">
        <v>39</v>
      </c>
      <c r="J879" t="s">
        <v>1359</v>
      </c>
    </row>
    <row r="880" spans="1:10">
      <c r="A880" t="s">
        <v>995</v>
      </c>
      <c r="B880">
        <v>1247</v>
      </c>
      <c r="C880">
        <v>39</v>
      </c>
      <c r="D880">
        <v>11</v>
      </c>
      <c r="E880">
        <v>87</v>
      </c>
      <c r="F880">
        <v>71</v>
      </c>
      <c r="G880">
        <v>19</v>
      </c>
      <c r="H880">
        <v>26</v>
      </c>
      <c r="I880">
        <v>32</v>
      </c>
      <c r="J880" t="s">
        <v>1033</v>
      </c>
    </row>
    <row r="881" spans="1:10">
      <c r="A881" t="s">
        <v>996</v>
      </c>
      <c r="B881">
        <v>858</v>
      </c>
      <c r="C881">
        <v>39</v>
      </c>
      <c r="D881">
        <v>11</v>
      </c>
      <c r="E881">
        <v>88</v>
      </c>
      <c r="F881">
        <v>72</v>
      </c>
      <c r="G881">
        <v>23</v>
      </c>
      <c r="H881">
        <v>32</v>
      </c>
      <c r="I881">
        <v>38</v>
      </c>
      <c r="J881" t="s">
        <v>1359</v>
      </c>
    </row>
    <row r="882" spans="1:10">
      <c r="A882" t="s">
        <v>997</v>
      </c>
      <c r="B882">
        <v>1195</v>
      </c>
      <c r="C882">
        <v>40</v>
      </c>
      <c r="D882">
        <v>5</v>
      </c>
      <c r="E882">
        <v>86</v>
      </c>
      <c r="F882">
        <v>71</v>
      </c>
      <c r="G882">
        <v>20</v>
      </c>
      <c r="H882">
        <v>27</v>
      </c>
      <c r="I882">
        <v>33</v>
      </c>
      <c r="J882" t="s">
        <v>1359</v>
      </c>
    </row>
    <row r="883" spans="1:10">
      <c r="A883" t="s">
        <v>998</v>
      </c>
      <c r="B883">
        <v>918</v>
      </c>
      <c r="C883">
        <v>44</v>
      </c>
      <c r="D883">
        <v>-9</v>
      </c>
      <c r="E883">
        <v>86</v>
      </c>
      <c r="F883">
        <v>72</v>
      </c>
      <c r="G883">
        <v>26</v>
      </c>
      <c r="H883">
        <v>33</v>
      </c>
      <c r="I883">
        <v>39</v>
      </c>
      <c r="J883" t="s">
        <v>1359</v>
      </c>
    </row>
    <row r="884" spans="1:10">
      <c r="A884" t="s">
        <v>999</v>
      </c>
      <c r="B884">
        <v>826</v>
      </c>
      <c r="C884">
        <v>46</v>
      </c>
      <c r="D884">
        <v>-16</v>
      </c>
      <c r="E884">
        <v>82</v>
      </c>
      <c r="F884">
        <v>68</v>
      </c>
      <c r="G884">
        <v>10</v>
      </c>
      <c r="H884">
        <v>17</v>
      </c>
      <c r="I884">
        <v>23</v>
      </c>
      <c r="J884" t="s">
        <v>1359</v>
      </c>
    </row>
    <row r="885" spans="1:10">
      <c r="A885" t="s">
        <v>1000</v>
      </c>
      <c r="B885">
        <v>817</v>
      </c>
      <c r="C885">
        <v>42</v>
      </c>
      <c r="D885">
        <v>-3</v>
      </c>
      <c r="E885">
        <v>90</v>
      </c>
      <c r="F885">
        <v>75</v>
      </c>
      <c r="G885">
        <v>38</v>
      </c>
      <c r="H885">
        <v>45</v>
      </c>
      <c r="I885">
        <v>51</v>
      </c>
      <c r="J885" t="s">
        <v>1359</v>
      </c>
    </row>
    <row r="886" spans="1:10">
      <c r="A886" t="s">
        <v>1001</v>
      </c>
      <c r="B886">
        <v>907</v>
      </c>
      <c r="C886">
        <v>44</v>
      </c>
      <c r="D886">
        <v>-13</v>
      </c>
      <c r="E886">
        <v>87</v>
      </c>
      <c r="F886">
        <v>71</v>
      </c>
      <c r="G886">
        <v>19</v>
      </c>
      <c r="H886">
        <v>26</v>
      </c>
      <c r="I886">
        <v>32</v>
      </c>
      <c r="J886" t="s">
        <v>1359</v>
      </c>
    </row>
    <row r="887" spans="1:10">
      <c r="A887" t="s">
        <v>1002</v>
      </c>
      <c r="B887">
        <v>809</v>
      </c>
      <c r="C887">
        <v>43</v>
      </c>
      <c r="D887">
        <v>-8</v>
      </c>
      <c r="E887">
        <v>86</v>
      </c>
      <c r="F887">
        <v>72</v>
      </c>
      <c r="G887">
        <v>26</v>
      </c>
      <c r="H887">
        <v>33</v>
      </c>
      <c r="I887">
        <v>39</v>
      </c>
      <c r="J887" t="s">
        <v>1359</v>
      </c>
    </row>
    <row r="888" spans="1:10">
      <c r="A888" t="s">
        <v>1003</v>
      </c>
      <c r="B888">
        <v>682</v>
      </c>
      <c r="C888">
        <v>44</v>
      </c>
      <c r="D888">
        <v>-8</v>
      </c>
      <c r="E888">
        <v>85</v>
      </c>
      <c r="F888">
        <v>72</v>
      </c>
      <c r="G888">
        <v>28</v>
      </c>
      <c r="H888">
        <v>35</v>
      </c>
      <c r="I888">
        <v>41</v>
      </c>
      <c r="J888" t="s">
        <v>1359</v>
      </c>
    </row>
    <row r="889" spans="1:10">
      <c r="A889" t="s">
        <v>1004</v>
      </c>
      <c r="B889">
        <v>651</v>
      </c>
      <c r="C889">
        <v>43</v>
      </c>
      <c r="D889">
        <v>-8</v>
      </c>
      <c r="E889">
        <v>88</v>
      </c>
      <c r="F889">
        <v>73</v>
      </c>
      <c r="G889">
        <v>29</v>
      </c>
      <c r="H889">
        <v>36</v>
      </c>
      <c r="I889">
        <v>42</v>
      </c>
      <c r="J889" t="s">
        <v>1359</v>
      </c>
    </row>
    <row r="890" spans="1:10">
      <c r="A890" t="s">
        <v>1005</v>
      </c>
      <c r="B890">
        <v>858</v>
      </c>
      <c r="C890">
        <v>43</v>
      </c>
      <c r="D890">
        <v>-6</v>
      </c>
      <c r="E890">
        <v>87</v>
      </c>
      <c r="F890">
        <v>72</v>
      </c>
      <c r="G890">
        <v>24</v>
      </c>
      <c r="H890">
        <v>31</v>
      </c>
      <c r="I890">
        <v>37</v>
      </c>
      <c r="J890" t="s">
        <v>1359</v>
      </c>
    </row>
    <row r="891" spans="1:10">
      <c r="A891" t="s">
        <v>1006</v>
      </c>
      <c r="B891">
        <v>651</v>
      </c>
      <c r="C891">
        <v>44</v>
      </c>
      <c r="D891">
        <v>-7</v>
      </c>
      <c r="E891">
        <v>86</v>
      </c>
      <c r="F891">
        <v>72</v>
      </c>
      <c r="G891">
        <v>26</v>
      </c>
      <c r="H891">
        <v>33</v>
      </c>
      <c r="I891">
        <v>39</v>
      </c>
      <c r="J891" t="s">
        <v>1359</v>
      </c>
    </row>
    <row r="892" spans="1:10">
      <c r="A892" t="s">
        <v>1007</v>
      </c>
      <c r="B892">
        <v>703</v>
      </c>
      <c r="C892">
        <v>45</v>
      </c>
      <c r="D892">
        <v>-11</v>
      </c>
      <c r="E892">
        <v>84</v>
      </c>
      <c r="F892">
        <v>71</v>
      </c>
      <c r="G892">
        <v>23</v>
      </c>
      <c r="H892">
        <v>30</v>
      </c>
      <c r="I892">
        <v>36</v>
      </c>
      <c r="J892" t="s">
        <v>1359</v>
      </c>
    </row>
    <row r="893" spans="1:10">
      <c r="A893" t="s">
        <v>1008</v>
      </c>
      <c r="B893">
        <v>723</v>
      </c>
      <c r="C893">
        <v>43</v>
      </c>
      <c r="D893">
        <v>-2</v>
      </c>
      <c r="E893">
        <v>86</v>
      </c>
      <c r="F893">
        <v>72</v>
      </c>
      <c r="G893">
        <v>26</v>
      </c>
      <c r="H893">
        <v>33</v>
      </c>
      <c r="I893">
        <v>39</v>
      </c>
      <c r="J893" t="s">
        <v>1359</v>
      </c>
    </row>
    <row r="894" spans="1:10">
      <c r="A894" t="s">
        <v>1009</v>
      </c>
      <c r="B894">
        <v>674</v>
      </c>
      <c r="C894">
        <v>42</v>
      </c>
      <c r="D894">
        <v>-2</v>
      </c>
      <c r="E894">
        <v>88</v>
      </c>
      <c r="F894">
        <v>73</v>
      </c>
      <c r="G894">
        <v>29</v>
      </c>
      <c r="H894">
        <v>36</v>
      </c>
      <c r="I894">
        <v>42</v>
      </c>
      <c r="J894" t="s">
        <v>1359</v>
      </c>
    </row>
    <row r="895" spans="1:10">
      <c r="A895" t="s">
        <v>1010</v>
      </c>
      <c r="B895">
        <v>749</v>
      </c>
      <c r="C895">
        <v>43</v>
      </c>
      <c r="D895">
        <v>-6</v>
      </c>
      <c r="E895">
        <v>86</v>
      </c>
      <c r="F895">
        <v>73</v>
      </c>
      <c r="G895">
        <v>32</v>
      </c>
      <c r="H895">
        <v>39</v>
      </c>
      <c r="I895">
        <v>45</v>
      </c>
      <c r="J895" t="s">
        <v>1359</v>
      </c>
    </row>
    <row r="896" spans="1:10">
      <c r="A896" t="s">
        <v>1011</v>
      </c>
      <c r="B896">
        <v>1110</v>
      </c>
      <c r="C896">
        <v>43</v>
      </c>
      <c r="D896">
        <v>-11</v>
      </c>
      <c r="E896">
        <v>89</v>
      </c>
      <c r="F896">
        <v>73</v>
      </c>
      <c r="G896">
        <v>27</v>
      </c>
      <c r="H896">
        <v>34</v>
      </c>
      <c r="I896">
        <v>40</v>
      </c>
      <c r="J896" t="s">
        <v>1359</v>
      </c>
    </row>
    <row r="897" spans="1:10">
      <c r="A897" t="s">
        <v>1012</v>
      </c>
      <c r="B897">
        <v>911</v>
      </c>
      <c r="C897">
        <v>43</v>
      </c>
      <c r="D897">
        <v>-5</v>
      </c>
      <c r="E897">
        <v>87</v>
      </c>
      <c r="F897">
        <v>73</v>
      </c>
      <c r="G897">
        <v>33</v>
      </c>
      <c r="H897">
        <v>40</v>
      </c>
      <c r="I897">
        <v>46</v>
      </c>
      <c r="J897" t="s">
        <v>1359</v>
      </c>
    </row>
    <row r="898" spans="1:10">
      <c r="A898" t="s">
        <v>1013</v>
      </c>
      <c r="B898">
        <v>1201</v>
      </c>
      <c r="C898">
        <v>44</v>
      </c>
      <c r="D898">
        <v>-9</v>
      </c>
      <c r="E898">
        <v>85</v>
      </c>
      <c r="F898">
        <v>70</v>
      </c>
      <c r="G898">
        <v>16</v>
      </c>
      <c r="H898">
        <v>23</v>
      </c>
      <c r="I898">
        <v>29</v>
      </c>
      <c r="J898" t="s">
        <v>1359</v>
      </c>
    </row>
    <row r="899" spans="1:10">
      <c r="A899" t="s">
        <v>1014</v>
      </c>
      <c r="B899">
        <v>6990</v>
      </c>
      <c r="C899">
        <v>42</v>
      </c>
      <c r="D899">
        <v>-15</v>
      </c>
      <c r="E899">
        <v>80</v>
      </c>
      <c r="F899">
        <v>53</v>
      </c>
      <c r="G899">
        <v>-58</v>
      </c>
      <c r="H899">
        <v>-51</v>
      </c>
      <c r="I899">
        <v>-45</v>
      </c>
      <c r="J899" t="s">
        <v>1359</v>
      </c>
    </row>
    <row r="900" spans="1:10">
      <c r="A900" t="s">
        <v>1015</v>
      </c>
      <c r="B900">
        <v>5348</v>
      </c>
      <c r="C900">
        <v>42</v>
      </c>
      <c r="D900">
        <v>-5</v>
      </c>
      <c r="E900">
        <v>89</v>
      </c>
      <c r="F900">
        <v>58</v>
      </c>
      <c r="G900">
        <v>-49</v>
      </c>
      <c r="H900">
        <v>-42</v>
      </c>
      <c r="I900">
        <v>-36</v>
      </c>
      <c r="J900" t="s">
        <v>1033</v>
      </c>
    </row>
    <row r="901" spans="1:10">
      <c r="A901" t="s">
        <v>1016</v>
      </c>
      <c r="B901">
        <v>6156</v>
      </c>
      <c r="C901">
        <v>41</v>
      </c>
      <c r="D901">
        <v>0</v>
      </c>
      <c r="E901">
        <v>85</v>
      </c>
      <c r="F901">
        <v>57</v>
      </c>
      <c r="G901">
        <v>-47</v>
      </c>
      <c r="H901">
        <v>-40</v>
      </c>
      <c r="I901">
        <v>-34</v>
      </c>
      <c r="J901" t="s">
        <v>1033</v>
      </c>
    </row>
    <row r="902" spans="1:10">
      <c r="A902" t="s">
        <v>1017</v>
      </c>
      <c r="B902">
        <v>5098</v>
      </c>
      <c r="C902">
        <v>44</v>
      </c>
      <c r="D902">
        <v>-7</v>
      </c>
      <c r="E902">
        <v>87</v>
      </c>
      <c r="F902">
        <v>58</v>
      </c>
      <c r="G902">
        <v>-45</v>
      </c>
      <c r="H902">
        <v>-38</v>
      </c>
      <c r="I902">
        <v>-32</v>
      </c>
      <c r="J902" t="s">
        <v>1033</v>
      </c>
    </row>
    <row r="903" spans="1:10">
      <c r="A903" t="s">
        <v>1018</v>
      </c>
      <c r="B903">
        <v>7163</v>
      </c>
      <c r="C903">
        <v>41</v>
      </c>
      <c r="D903">
        <v>-3</v>
      </c>
      <c r="E903">
        <v>84</v>
      </c>
      <c r="F903">
        <v>55</v>
      </c>
      <c r="G903">
        <v>-55</v>
      </c>
      <c r="H903">
        <v>-48</v>
      </c>
      <c r="I903">
        <v>-42</v>
      </c>
      <c r="J903" t="s">
        <v>1359</v>
      </c>
    </row>
    <row r="904" spans="1:10">
      <c r="A904" t="s">
        <v>1019</v>
      </c>
      <c r="B904">
        <v>4363</v>
      </c>
      <c r="C904">
        <v>44</v>
      </c>
      <c r="D904">
        <v>-7</v>
      </c>
      <c r="E904">
        <v>91</v>
      </c>
      <c r="F904">
        <v>61</v>
      </c>
      <c r="G904">
        <v>-38</v>
      </c>
      <c r="H904">
        <v>-31</v>
      </c>
      <c r="I904">
        <v>-25</v>
      </c>
      <c r="J904" t="s">
        <v>1033</v>
      </c>
    </row>
    <row r="905" spans="1:10">
      <c r="A905" t="s">
        <v>1020</v>
      </c>
      <c r="B905">
        <v>5586</v>
      </c>
      <c r="C905">
        <v>42</v>
      </c>
      <c r="D905">
        <v>-7</v>
      </c>
      <c r="E905">
        <v>87</v>
      </c>
      <c r="F905">
        <v>58</v>
      </c>
      <c r="G905">
        <v>-46</v>
      </c>
      <c r="H905">
        <v>-39</v>
      </c>
      <c r="I905">
        <v>-33</v>
      </c>
      <c r="J905" t="s">
        <v>1033</v>
      </c>
    </row>
    <row r="906" spans="1:10">
      <c r="A906" t="s">
        <v>1021</v>
      </c>
      <c r="B906">
        <v>7278</v>
      </c>
      <c r="C906">
        <v>41</v>
      </c>
      <c r="D906">
        <v>-6</v>
      </c>
      <c r="E906">
        <v>81</v>
      </c>
      <c r="F906">
        <v>56</v>
      </c>
      <c r="G906">
        <v>-46</v>
      </c>
      <c r="H906">
        <v>-39</v>
      </c>
      <c r="I906">
        <v>-33</v>
      </c>
      <c r="J906" t="s">
        <v>1359</v>
      </c>
    </row>
    <row r="907" spans="1:10">
      <c r="A907" t="s">
        <v>1022</v>
      </c>
      <c r="B907">
        <v>4174</v>
      </c>
      <c r="C907">
        <v>43</v>
      </c>
      <c r="D907">
        <v>-12</v>
      </c>
      <c r="E907">
        <v>87</v>
      </c>
      <c r="F907">
        <v>63</v>
      </c>
      <c r="G907">
        <v>-21</v>
      </c>
      <c r="H907">
        <v>-14</v>
      </c>
      <c r="I907">
        <v>-8</v>
      </c>
      <c r="J907" t="s">
        <v>1033</v>
      </c>
    </row>
    <row r="908" spans="1:10">
      <c r="A908" t="s">
        <v>1023</v>
      </c>
      <c r="B908">
        <v>6813</v>
      </c>
      <c r="C908">
        <v>41</v>
      </c>
      <c r="D908">
        <v>-4</v>
      </c>
      <c r="E908">
        <v>83</v>
      </c>
      <c r="F908">
        <v>57</v>
      </c>
      <c r="G908">
        <v>-44</v>
      </c>
      <c r="H908">
        <v>-37</v>
      </c>
      <c r="I908">
        <v>-31</v>
      </c>
      <c r="J908" t="s">
        <v>1359</v>
      </c>
    </row>
    <row r="909" spans="1:10">
      <c r="A909" t="s">
        <v>1024</v>
      </c>
      <c r="B909">
        <v>6760</v>
      </c>
      <c r="C909">
        <v>41</v>
      </c>
      <c r="D909">
        <v>-2</v>
      </c>
      <c r="E909">
        <v>84</v>
      </c>
      <c r="F909">
        <v>54</v>
      </c>
      <c r="G909">
        <v>-60</v>
      </c>
      <c r="H909">
        <v>-53</v>
      </c>
      <c r="I909">
        <v>-47</v>
      </c>
      <c r="J909" t="s">
        <v>1359</v>
      </c>
    </row>
    <row r="910" spans="1:10">
      <c r="A910" t="s">
        <v>1025</v>
      </c>
      <c r="B910">
        <v>4024</v>
      </c>
      <c r="C910">
        <v>44</v>
      </c>
      <c r="D910">
        <v>-8</v>
      </c>
      <c r="E910">
        <v>90</v>
      </c>
      <c r="F910">
        <v>61</v>
      </c>
      <c r="G910">
        <v>-36</v>
      </c>
      <c r="H910">
        <v>-29</v>
      </c>
      <c r="I910">
        <v>-23</v>
      </c>
      <c r="J910" t="s">
        <v>1033</v>
      </c>
    </row>
    <row r="911" spans="1:10">
      <c r="A911" t="s">
        <v>1026</v>
      </c>
      <c r="B911">
        <v>4205</v>
      </c>
      <c r="C911">
        <v>42</v>
      </c>
      <c r="D911">
        <v>-8</v>
      </c>
      <c r="E911">
        <v>91</v>
      </c>
      <c r="F911">
        <v>62</v>
      </c>
      <c r="G911">
        <v>-32</v>
      </c>
      <c r="H911">
        <v>-25</v>
      </c>
      <c r="I911">
        <v>-19</v>
      </c>
      <c r="J911" t="s">
        <v>1033</v>
      </c>
    </row>
    <row r="912" spans="1:10">
      <c r="A912" t="s">
        <v>1027</v>
      </c>
      <c r="B912">
        <v>4227</v>
      </c>
      <c r="C912">
        <v>43</v>
      </c>
      <c r="D912">
        <v>-13</v>
      </c>
      <c r="E912">
        <v>93</v>
      </c>
      <c r="F912">
        <v>63</v>
      </c>
      <c r="G912">
        <v>-30</v>
      </c>
      <c r="H912">
        <v>-23</v>
      </c>
      <c r="I912">
        <v>-17</v>
      </c>
      <c r="J912" t="s">
        <v>1033</v>
      </c>
    </row>
  </sheetData>
  <phoneticPr fontId="25" type="noConversion"/>
  <pageMargins left="0.75" right="0.75" top="1" bottom="1" header="0.5" footer="0.5"/>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syncVertical="1" syncRef="L22" transitionEvaluation="1" codeName="Sheet1">
    <tabColor indexed="17"/>
    <pageSetUpPr fitToPage="1"/>
  </sheetPr>
  <dimension ref="A1:DA854"/>
  <sheetViews>
    <sheetView showGridLines="0" showRowColHeaders="0" showZeros="0" tabSelected="1" zoomScale="80" zoomScaleNormal="82" zoomScaleSheetLayoutView="100" workbookViewId="0">
      <pane xSplit="11" ySplit="9" topLeftCell="L22" activePane="bottomRight" state="frozen"/>
      <selection pane="topRight" activeCell="K1" sqref="K1"/>
      <selection pane="bottomLeft" activeCell="A9" sqref="A9"/>
      <selection pane="bottomRight" activeCell="B63" sqref="B63:G63"/>
    </sheetView>
  </sheetViews>
  <sheetFormatPr defaultColWidth="9.77734375" defaultRowHeight="12.95" customHeight="1"/>
  <cols>
    <col min="1" max="1" width="1.77734375" style="39" customWidth="1"/>
    <col min="2" max="2" width="2.77734375" style="519" customWidth="1"/>
    <col min="3" max="3" width="8.77734375" style="39" customWidth="1"/>
    <col min="4" max="4" width="7.77734375" style="39" customWidth="1"/>
    <col min="5" max="5" width="3.77734375" style="39" customWidth="1"/>
    <col min="6" max="6" width="7.77734375" style="39" customWidth="1"/>
    <col min="7" max="7" width="19.77734375" style="39" customWidth="1"/>
    <col min="8" max="8" width="10" style="39" bestFit="1" customWidth="1"/>
    <col min="9" max="9" width="7.77734375" style="39" customWidth="1"/>
    <col min="10" max="11" width="7" style="39" customWidth="1"/>
    <col min="12" max="58" width="6.77734375" style="39" customWidth="1"/>
    <col min="59" max="61" width="6.77734375" style="38" hidden="1" customWidth="1"/>
    <col min="62" max="66" width="9.77734375" style="39" hidden="1" customWidth="1"/>
    <col min="67" max="80" width="9.77734375" style="39" customWidth="1"/>
    <col min="81" max="84" width="9.77734375" style="38" customWidth="1"/>
    <col min="85" max="85" width="10.77734375" style="38" customWidth="1"/>
    <col min="86" max="96" width="9.77734375" style="38" customWidth="1"/>
    <col min="97" max="105" width="9.77734375" style="38"/>
    <col min="106" max="16384" width="9.77734375" style="39"/>
  </cols>
  <sheetData>
    <row r="1" spans="1:80" ht="12.95" customHeight="1" thickBot="1">
      <c r="A1" s="38"/>
      <c r="B1" s="506"/>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J1" s="38"/>
      <c r="BK1" s="38"/>
      <c r="BL1" s="38"/>
      <c r="BM1" s="38"/>
      <c r="BN1" s="38"/>
      <c r="BO1" s="38"/>
      <c r="BP1" s="38"/>
      <c r="BQ1" s="38"/>
      <c r="BR1" s="38"/>
      <c r="BS1" s="38"/>
      <c r="BT1" s="38"/>
      <c r="BU1" s="38"/>
      <c r="BV1" s="38"/>
      <c r="BW1" s="38"/>
      <c r="BX1" s="38"/>
      <c r="BY1" s="38"/>
      <c r="BZ1" s="38"/>
      <c r="CA1" s="38"/>
      <c r="CB1" s="38"/>
    </row>
    <row r="2" spans="1:80" ht="12.95" customHeight="1" thickBot="1">
      <c r="A2" s="38"/>
      <c r="B2" s="864" t="s">
        <v>2718</v>
      </c>
      <c r="C2" s="865"/>
      <c r="D2" s="865"/>
      <c r="E2" s="865"/>
      <c r="F2" s="865"/>
      <c r="G2" s="865"/>
      <c r="H2" s="865"/>
      <c r="I2" s="865"/>
      <c r="J2" s="865"/>
      <c r="K2" s="865"/>
      <c r="L2" s="865"/>
      <c r="M2" s="866"/>
      <c r="N2" s="35"/>
      <c r="O2" s="35"/>
      <c r="P2" s="35"/>
      <c r="Q2" s="35"/>
      <c r="R2" s="35"/>
      <c r="S2" s="35"/>
      <c r="T2" s="35"/>
      <c r="U2" s="35"/>
      <c r="V2" s="36"/>
      <c r="W2" s="36"/>
      <c r="X2" s="36"/>
      <c r="Y2" s="36"/>
      <c r="Z2" s="36"/>
      <c r="AA2" s="36"/>
      <c r="AB2" s="36"/>
      <c r="AC2" s="36"/>
      <c r="AD2" s="36"/>
      <c r="AE2" s="36"/>
      <c r="AF2" s="36"/>
      <c r="AG2" s="36"/>
      <c r="AH2" s="36"/>
      <c r="AI2" s="36"/>
      <c r="AJ2" s="36"/>
      <c r="AK2" s="36"/>
      <c r="AL2" s="36"/>
      <c r="AM2" s="36"/>
      <c r="AN2" s="36"/>
      <c r="AO2" s="36"/>
      <c r="AP2" s="36"/>
      <c r="AQ2" s="36"/>
      <c r="AR2" s="36"/>
      <c r="AS2" s="36"/>
      <c r="AT2" s="36"/>
      <c r="AU2" s="36"/>
      <c r="AV2" s="36"/>
      <c r="AW2" s="36"/>
      <c r="AX2" s="36"/>
      <c r="AY2" s="36"/>
      <c r="AZ2" s="36"/>
      <c r="BA2" s="36"/>
      <c r="BB2" s="36"/>
      <c r="BC2" s="36"/>
      <c r="BD2" s="36"/>
      <c r="BE2" s="36"/>
      <c r="BF2" s="36"/>
      <c r="BG2" s="37"/>
      <c r="BH2" s="37"/>
      <c r="BI2" s="37"/>
      <c r="BJ2" s="861"/>
      <c r="BK2" s="861"/>
      <c r="BL2" s="38"/>
      <c r="BM2" s="38"/>
      <c r="BN2" s="38"/>
      <c r="BO2" s="38"/>
      <c r="BP2" s="38"/>
      <c r="BQ2" s="38"/>
      <c r="BR2" s="38"/>
      <c r="BS2" s="38"/>
      <c r="BT2" s="38"/>
      <c r="BU2" s="38"/>
      <c r="BV2" s="38"/>
      <c r="BW2" s="38"/>
      <c r="BX2" s="38"/>
      <c r="BY2" s="38"/>
      <c r="BZ2" s="38"/>
      <c r="CA2" s="38"/>
      <c r="CB2" s="38"/>
    </row>
    <row r="3" spans="1:80" ht="12.95" customHeight="1">
      <c r="A3" s="38"/>
      <c r="B3" s="883" t="s">
        <v>1381</v>
      </c>
      <c r="C3" s="884"/>
      <c r="D3" s="900" t="s">
        <v>2796</v>
      </c>
      <c r="E3" s="901"/>
      <c r="F3" s="902"/>
      <c r="G3" s="695" t="s">
        <v>1028</v>
      </c>
      <c r="H3" s="696" t="s">
        <v>37</v>
      </c>
      <c r="I3" s="885" t="s">
        <v>1423</v>
      </c>
      <c r="J3" s="886"/>
      <c r="K3" s="887"/>
      <c r="L3" s="875"/>
      <c r="M3" s="876"/>
      <c r="N3" s="40"/>
      <c r="O3" s="40"/>
      <c r="P3" s="40"/>
      <c r="Q3" s="40"/>
      <c r="R3" s="40"/>
      <c r="S3" s="40"/>
      <c r="T3" s="40"/>
      <c r="U3" s="40"/>
      <c r="V3" s="36"/>
      <c r="W3" s="36"/>
      <c r="X3" s="36"/>
      <c r="Y3" s="36"/>
      <c r="Z3" s="36"/>
      <c r="AA3" s="36"/>
      <c r="AB3" s="36"/>
      <c r="AC3" s="36"/>
      <c r="AD3" s="36"/>
      <c r="AE3" s="36"/>
      <c r="AF3" s="36"/>
      <c r="AG3" s="36"/>
      <c r="AH3" s="36"/>
      <c r="AI3" s="36"/>
      <c r="AJ3" s="36"/>
      <c r="AK3" s="36"/>
      <c r="AL3" s="36"/>
      <c r="AM3" s="36"/>
      <c r="AN3" s="36"/>
      <c r="AO3" s="36"/>
      <c r="AP3" s="36"/>
      <c r="AQ3" s="36"/>
      <c r="AR3" s="36"/>
      <c r="AS3" s="36"/>
      <c r="AT3" s="36"/>
      <c r="AU3" s="36"/>
      <c r="AV3" s="36"/>
      <c r="AW3" s="36"/>
      <c r="AX3" s="36"/>
      <c r="AY3" s="36"/>
      <c r="AZ3" s="36"/>
      <c r="BA3" s="36"/>
      <c r="BB3" s="36"/>
      <c r="BC3" s="36"/>
      <c r="BD3" s="36"/>
      <c r="BE3" s="36"/>
      <c r="BF3" s="36"/>
      <c r="BG3" s="37"/>
      <c r="BH3" s="37"/>
      <c r="BI3" s="37"/>
      <c r="BJ3" s="861"/>
      <c r="BK3" s="861"/>
      <c r="BL3" s="38"/>
      <c r="BM3" s="38"/>
      <c r="BN3" s="38"/>
      <c r="BO3" s="38"/>
      <c r="BP3" s="38"/>
      <c r="BQ3" s="38"/>
      <c r="BR3" s="38"/>
      <c r="BS3" s="38"/>
      <c r="BT3" s="38"/>
      <c r="BU3" s="38"/>
      <c r="BV3" s="38"/>
      <c r="BW3" s="38"/>
      <c r="BX3" s="38"/>
      <c r="BY3" s="38"/>
      <c r="BZ3" s="38"/>
      <c r="CA3" s="38"/>
      <c r="CB3" s="38"/>
    </row>
    <row r="4" spans="1:80" ht="12.95" customHeight="1">
      <c r="A4" s="38"/>
      <c r="B4" s="873" t="s">
        <v>2253</v>
      </c>
      <c r="C4" s="874"/>
      <c r="D4" s="874"/>
      <c r="E4" s="863"/>
      <c r="F4" s="704">
        <v>70</v>
      </c>
      <c r="G4" s="702" t="s">
        <v>2759</v>
      </c>
      <c r="H4" s="703">
        <f>Cities!D2</f>
        <v>-9</v>
      </c>
      <c r="I4" s="867" t="s">
        <v>1198</v>
      </c>
      <c r="J4" s="867"/>
      <c r="K4" s="42">
        <f>F4-H4</f>
        <v>79</v>
      </c>
      <c r="L4" s="877"/>
      <c r="M4" s="878"/>
      <c r="N4" s="40"/>
      <c r="O4" s="40"/>
      <c r="P4" s="40"/>
      <c r="Q4" s="40"/>
      <c r="R4" s="40"/>
      <c r="S4" s="40"/>
      <c r="T4" s="40"/>
      <c r="U4" s="40"/>
      <c r="V4" s="36"/>
      <c r="W4" s="36"/>
      <c r="X4" s="36"/>
      <c r="Y4" s="36"/>
      <c r="Z4" s="36"/>
      <c r="AA4" s="36"/>
      <c r="AB4" s="36"/>
      <c r="AC4" s="36"/>
      <c r="AD4" s="36"/>
      <c r="AE4" s="36"/>
      <c r="AF4" s="36"/>
      <c r="AG4" s="36"/>
      <c r="AH4" s="36"/>
      <c r="AI4" s="36"/>
      <c r="AJ4" s="36"/>
      <c r="AK4" s="36"/>
      <c r="AL4" s="36"/>
      <c r="AM4" s="36"/>
      <c r="AN4" s="36"/>
      <c r="AO4" s="36"/>
      <c r="AP4" s="36"/>
      <c r="AQ4" s="36"/>
      <c r="AR4" s="36"/>
      <c r="AS4" s="36"/>
      <c r="AT4" s="36"/>
      <c r="AU4" s="36"/>
      <c r="AV4" s="36"/>
      <c r="AW4" s="36"/>
      <c r="AX4" s="36"/>
      <c r="AY4" s="36"/>
      <c r="AZ4" s="36"/>
      <c r="BA4" s="36"/>
      <c r="BB4" s="36"/>
      <c r="BC4" s="36"/>
      <c r="BD4" s="36"/>
      <c r="BE4" s="36"/>
      <c r="BF4" s="36"/>
      <c r="BG4" s="37"/>
      <c r="BH4" s="37"/>
      <c r="BI4" s="37"/>
      <c r="BJ4" s="861"/>
      <c r="BK4" s="861"/>
      <c r="BL4" s="38"/>
      <c r="BM4" s="38"/>
      <c r="BN4" s="38"/>
      <c r="BO4" s="38"/>
      <c r="BP4" s="38"/>
      <c r="BQ4" s="38"/>
      <c r="BR4" s="38"/>
      <c r="BS4" s="38"/>
      <c r="BT4" s="38"/>
      <c r="BU4" s="38"/>
      <c r="BV4" s="38"/>
      <c r="BW4" s="38"/>
      <c r="BX4" s="38"/>
      <c r="BY4" s="38"/>
      <c r="BZ4" s="38"/>
      <c r="CA4" s="38"/>
      <c r="CB4" s="38"/>
    </row>
    <row r="5" spans="1:80" ht="12.95" customHeight="1">
      <c r="A5" s="38"/>
      <c r="B5" s="873" t="s">
        <v>2254</v>
      </c>
      <c r="C5" s="874"/>
      <c r="D5" s="874"/>
      <c r="E5" s="863"/>
      <c r="F5" s="704">
        <v>75</v>
      </c>
      <c r="G5" s="702" t="s">
        <v>2760</v>
      </c>
      <c r="H5" s="704">
        <f>Cities!E2</f>
        <v>84</v>
      </c>
      <c r="I5" s="867" t="s">
        <v>1358</v>
      </c>
      <c r="J5" s="867"/>
      <c r="K5" s="42">
        <f>H5-F5</f>
        <v>9</v>
      </c>
      <c r="L5" s="877"/>
      <c r="M5" s="878"/>
      <c r="N5" s="40"/>
      <c r="O5" s="40"/>
      <c r="P5" s="40"/>
      <c r="Q5" s="40"/>
      <c r="R5" s="40"/>
      <c r="S5" s="40"/>
      <c r="T5" s="40"/>
      <c r="U5" s="40"/>
      <c r="V5" s="36"/>
      <c r="W5" s="36"/>
      <c r="X5" s="36"/>
      <c r="Y5" s="36"/>
      <c r="Z5" s="36"/>
      <c r="AA5" s="36"/>
      <c r="AB5" s="36"/>
      <c r="AC5" s="36"/>
      <c r="AD5" s="36"/>
      <c r="AE5" s="36"/>
      <c r="AF5" s="36"/>
      <c r="AG5" s="36"/>
      <c r="AH5" s="36"/>
      <c r="AI5" s="36"/>
      <c r="AJ5" s="36"/>
      <c r="AK5" s="36"/>
      <c r="AL5" s="36"/>
      <c r="AM5" s="36"/>
      <c r="AN5" s="36"/>
      <c r="AO5" s="36"/>
      <c r="AP5" s="36"/>
      <c r="AQ5" s="36"/>
      <c r="AR5" s="36"/>
      <c r="AS5" s="36"/>
      <c r="AT5" s="36"/>
      <c r="AU5" s="36"/>
      <c r="AV5" s="36"/>
      <c r="AW5" s="36"/>
      <c r="AX5" s="36"/>
      <c r="AY5" s="36"/>
      <c r="AZ5" s="36"/>
      <c r="BA5" s="36"/>
      <c r="BB5" s="36"/>
      <c r="BC5" s="36"/>
      <c r="BD5" s="36"/>
      <c r="BE5" s="36"/>
      <c r="BF5" s="36"/>
      <c r="BG5" s="37"/>
      <c r="BH5" s="37"/>
      <c r="BI5" s="37"/>
      <c r="BJ5" s="861"/>
      <c r="BK5" s="861"/>
      <c r="BL5" s="38"/>
      <c r="BM5" s="38"/>
      <c r="BN5" s="38"/>
      <c r="BO5" s="38"/>
      <c r="BP5" s="38"/>
      <c r="BQ5" s="38"/>
      <c r="BR5" s="38"/>
      <c r="BS5" s="38"/>
      <c r="BT5" s="38"/>
      <c r="BU5" s="38"/>
      <c r="BV5" s="38"/>
      <c r="BW5" s="38"/>
      <c r="BX5" s="38"/>
      <c r="BY5" s="38"/>
      <c r="BZ5" s="38"/>
      <c r="CA5" s="38"/>
      <c r="CB5" s="38"/>
    </row>
    <row r="6" spans="1:80" ht="12.95" customHeight="1" thickBot="1">
      <c r="A6" s="38"/>
      <c r="B6" s="873" t="s">
        <v>2255</v>
      </c>
      <c r="C6" s="874"/>
      <c r="D6" s="874"/>
      <c r="E6" s="863"/>
      <c r="F6" s="565">
        <v>0.5</v>
      </c>
      <c r="G6" s="41" t="s">
        <v>2515</v>
      </c>
      <c r="H6" s="699">
        <f>VLOOKUP(Cities!A2,Cities!A2:I2,Cities!BQ1)</f>
        <v>19</v>
      </c>
      <c r="I6" s="862" t="s">
        <v>2416</v>
      </c>
      <c r="J6" s="863"/>
      <c r="K6" s="698" t="str">
        <f>Cities!J2</f>
        <v>Medium</v>
      </c>
      <c r="L6" s="879"/>
      <c r="M6" s="880"/>
      <c r="N6" s="40"/>
      <c r="O6" s="40"/>
      <c r="P6" s="40"/>
      <c r="Q6" s="40"/>
      <c r="R6" s="40"/>
      <c r="S6" s="40"/>
      <c r="T6" s="40"/>
      <c r="U6" s="40"/>
      <c r="V6" s="36"/>
      <c r="W6" s="36"/>
      <c r="X6" s="36"/>
      <c r="Y6" s="36"/>
      <c r="Z6" s="36"/>
      <c r="AA6" s="36"/>
      <c r="AB6" s="36"/>
      <c r="AC6" s="36"/>
      <c r="AD6" s="36"/>
      <c r="AE6" s="36"/>
      <c r="AF6" s="36"/>
      <c r="AG6" s="36"/>
      <c r="AH6" s="36"/>
      <c r="AI6" s="36"/>
      <c r="AJ6" s="36"/>
      <c r="AK6" s="36"/>
      <c r="AL6" s="36"/>
      <c r="AM6" s="36"/>
      <c r="AN6" s="36"/>
      <c r="AO6" s="36"/>
      <c r="AP6" s="36"/>
      <c r="AQ6" s="36"/>
      <c r="AR6" s="36"/>
      <c r="AS6" s="36"/>
      <c r="AT6" s="36"/>
      <c r="AU6" s="36"/>
      <c r="AV6" s="36"/>
      <c r="AW6" s="36"/>
      <c r="AX6" s="36"/>
      <c r="AY6" s="36"/>
      <c r="AZ6" s="36"/>
      <c r="BA6" s="36"/>
      <c r="BB6" s="36"/>
      <c r="BC6" s="36"/>
      <c r="BD6" s="36"/>
      <c r="BE6" s="36"/>
      <c r="BF6" s="36"/>
      <c r="BG6" s="37"/>
      <c r="BH6" s="37"/>
      <c r="BI6" s="37"/>
      <c r="BJ6" s="861"/>
      <c r="BK6" s="861"/>
      <c r="BL6" s="38"/>
      <c r="BM6" s="38"/>
      <c r="BN6" s="38"/>
      <c r="BO6" s="38"/>
      <c r="BP6" s="38"/>
      <c r="BQ6" s="38"/>
      <c r="BR6" s="38"/>
      <c r="BS6" s="38"/>
      <c r="BT6" s="38"/>
      <c r="BU6" s="38"/>
      <c r="BV6" s="38"/>
      <c r="BW6" s="38"/>
      <c r="BX6" s="38"/>
      <c r="BY6" s="38"/>
      <c r="BZ6" s="38"/>
      <c r="CA6" s="38"/>
      <c r="CB6" s="38"/>
    </row>
    <row r="7" spans="1:80" ht="12.95" customHeight="1" thickBot="1">
      <c r="A7" s="38"/>
      <c r="B7" s="888" t="s">
        <v>2413</v>
      </c>
      <c r="C7" s="889"/>
      <c r="D7" s="889"/>
      <c r="E7" s="869"/>
      <c r="F7" s="700">
        <f>Cities!C2</f>
        <v>44</v>
      </c>
      <c r="G7" s="43" t="s">
        <v>2412</v>
      </c>
      <c r="H7" s="700">
        <f>Cities!B2</f>
        <v>1161</v>
      </c>
      <c r="I7" s="868" t="s">
        <v>1200</v>
      </c>
      <c r="J7" s="869"/>
      <c r="K7" s="242">
        <f>VLOOKUP(H7,Calc!G1:H49,2)</f>
        <v>0.97</v>
      </c>
      <c r="L7" s="881" t="s">
        <v>2251</v>
      </c>
      <c r="M7" s="882"/>
      <c r="N7" s="679" t="s">
        <v>1363</v>
      </c>
      <c r="O7" s="825" t="s">
        <v>2784</v>
      </c>
      <c r="P7" s="826"/>
      <c r="Q7" s="679" t="s">
        <v>1363</v>
      </c>
      <c r="R7" s="825" t="s">
        <v>2785</v>
      </c>
      <c r="S7" s="826"/>
      <c r="T7" s="679" t="s">
        <v>1363</v>
      </c>
      <c r="U7" s="825" t="s">
        <v>2786</v>
      </c>
      <c r="V7" s="826"/>
      <c r="W7" s="679" t="s">
        <v>1363</v>
      </c>
      <c r="X7" s="825" t="s">
        <v>2787</v>
      </c>
      <c r="Y7" s="826"/>
      <c r="Z7" s="679" t="s">
        <v>1363</v>
      </c>
      <c r="AA7" s="825" t="s">
        <v>2788</v>
      </c>
      <c r="AB7" s="826"/>
      <c r="AC7" s="679" t="s">
        <v>1363</v>
      </c>
      <c r="AD7" s="825" t="s">
        <v>2789</v>
      </c>
      <c r="AE7" s="826"/>
      <c r="AF7" s="679" t="s">
        <v>1363</v>
      </c>
      <c r="AG7" s="825" t="s">
        <v>2790</v>
      </c>
      <c r="AH7" s="826"/>
      <c r="AI7" s="679" t="s">
        <v>1363</v>
      </c>
      <c r="AJ7" s="825" t="s">
        <v>2791</v>
      </c>
      <c r="AK7" s="826"/>
      <c r="AL7" s="679" t="s">
        <v>1363</v>
      </c>
      <c r="AM7" s="825" t="s">
        <v>2792</v>
      </c>
      <c r="AN7" s="826"/>
      <c r="AO7" s="679" t="s">
        <v>1363</v>
      </c>
      <c r="AP7" s="825"/>
      <c r="AQ7" s="826"/>
      <c r="AR7" s="679" t="s">
        <v>1363</v>
      </c>
      <c r="AS7" s="825"/>
      <c r="AT7" s="826"/>
      <c r="AU7" s="679" t="s">
        <v>1363</v>
      </c>
      <c r="AV7" s="825"/>
      <c r="AW7" s="826"/>
      <c r="AX7" s="679" t="s">
        <v>1363</v>
      </c>
      <c r="AY7" s="825"/>
      <c r="AZ7" s="826"/>
      <c r="BA7" s="679" t="s">
        <v>1363</v>
      </c>
      <c r="BB7" s="825"/>
      <c r="BC7" s="826"/>
      <c r="BD7" s="679" t="s">
        <v>1363</v>
      </c>
      <c r="BE7" s="825"/>
      <c r="BF7" s="826"/>
      <c r="BG7" s="45"/>
      <c r="BH7" s="45"/>
      <c r="BI7" s="45"/>
      <c r="BJ7" s="861"/>
      <c r="BK7" s="861"/>
      <c r="BL7" s="38"/>
      <c r="BM7" s="38"/>
      <c r="BN7" s="38"/>
      <c r="BO7" s="38"/>
      <c r="BP7" s="38"/>
      <c r="BQ7" s="38"/>
      <c r="BR7" s="38"/>
      <c r="BS7" s="38"/>
      <c r="BT7" s="38"/>
      <c r="BU7" s="38"/>
      <c r="BV7" s="38"/>
      <c r="BW7" s="38"/>
      <c r="BX7" s="38"/>
      <c r="BY7" s="38"/>
      <c r="BZ7" s="38"/>
      <c r="CA7" s="38"/>
      <c r="CB7" s="38"/>
    </row>
    <row r="8" spans="1:80" ht="12.95" customHeight="1">
      <c r="A8" s="38"/>
      <c r="B8" s="507"/>
      <c r="C8" s="46"/>
      <c r="D8" s="870" t="s">
        <v>1357</v>
      </c>
      <c r="E8" s="872"/>
      <c r="F8" s="870" t="s">
        <v>2394</v>
      </c>
      <c r="G8" s="871"/>
      <c r="H8" s="872"/>
      <c r="I8" s="48" t="s">
        <v>1187</v>
      </c>
      <c r="J8" s="48" t="s">
        <v>1197</v>
      </c>
      <c r="K8" s="47" t="s">
        <v>1203</v>
      </c>
      <c r="L8" s="49" t="s">
        <v>1187</v>
      </c>
      <c r="M8" s="50" t="s">
        <v>1197</v>
      </c>
      <c r="N8" s="136" t="s">
        <v>1203</v>
      </c>
      <c r="O8" s="827" t="s">
        <v>2252</v>
      </c>
      <c r="P8" s="828"/>
      <c r="Q8" s="136" t="s">
        <v>1203</v>
      </c>
      <c r="R8" s="827" t="s">
        <v>2252</v>
      </c>
      <c r="S8" s="828"/>
      <c r="T8" s="136" t="s">
        <v>1203</v>
      </c>
      <c r="U8" s="827" t="s">
        <v>2252</v>
      </c>
      <c r="V8" s="828"/>
      <c r="W8" s="136" t="s">
        <v>1203</v>
      </c>
      <c r="X8" s="827" t="s">
        <v>2252</v>
      </c>
      <c r="Y8" s="828"/>
      <c r="Z8" s="136" t="s">
        <v>1203</v>
      </c>
      <c r="AA8" s="827" t="s">
        <v>2252</v>
      </c>
      <c r="AB8" s="828"/>
      <c r="AC8" s="136" t="s">
        <v>1203</v>
      </c>
      <c r="AD8" s="827" t="s">
        <v>2252</v>
      </c>
      <c r="AE8" s="828"/>
      <c r="AF8" s="136" t="s">
        <v>1203</v>
      </c>
      <c r="AG8" s="827" t="s">
        <v>2252</v>
      </c>
      <c r="AH8" s="828"/>
      <c r="AI8" s="136" t="s">
        <v>1203</v>
      </c>
      <c r="AJ8" s="827" t="s">
        <v>2252</v>
      </c>
      <c r="AK8" s="828"/>
      <c r="AL8" s="136" t="s">
        <v>1203</v>
      </c>
      <c r="AM8" s="827" t="s">
        <v>2252</v>
      </c>
      <c r="AN8" s="828"/>
      <c r="AO8" s="136" t="s">
        <v>1203</v>
      </c>
      <c r="AP8" s="827" t="s">
        <v>2252</v>
      </c>
      <c r="AQ8" s="828"/>
      <c r="AR8" s="136" t="s">
        <v>1203</v>
      </c>
      <c r="AS8" s="827" t="s">
        <v>2252</v>
      </c>
      <c r="AT8" s="828"/>
      <c r="AU8" s="136" t="s">
        <v>1203</v>
      </c>
      <c r="AV8" s="827" t="s">
        <v>2252</v>
      </c>
      <c r="AW8" s="828"/>
      <c r="AX8" s="136" t="s">
        <v>1203</v>
      </c>
      <c r="AY8" s="827" t="s">
        <v>2252</v>
      </c>
      <c r="AZ8" s="828"/>
      <c r="BA8" s="136" t="s">
        <v>1203</v>
      </c>
      <c r="BB8" s="827" t="s">
        <v>2252</v>
      </c>
      <c r="BC8" s="828"/>
      <c r="BD8" s="136" t="s">
        <v>1203</v>
      </c>
      <c r="BE8" s="827" t="s">
        <v>2252</v>
      </c>
      <c r="BF8" s="828"/>
      <c r="BG8" s="51"/>
      <c r="BH8" s="51"/>
      <c r="BI8" s="51"/>
      <c r="BJ8" s="52"/>
      <c r="BK8" s="52"/>
      <c r="BL8" s="38"/>
      <c r="BM8" s="38"/>
      <c r="BN8" s="38"/>
      <c r="BO8" s="38"/>
      <c r="BP8" s="38"/>
      <c r="BQ8" s="38"/>
      <c r="BR8" s="38"/>
      <c r="BS8" s="38"/>
      <c r="BT8" s="38"/>
      <c r="BU8" s="38"/>
      <c r="BV8" s="38"/>
      <c r="BW8" s="38"/>
      <c r="BX8" s="38"/>
      <c r="BY8" s="38"/>
      <c r="BZ8" s="38"/>
      <c r="CA8" s="38"/>
      <c r="CB8" s="38"/>
    </row>
    <row r="9" spans="1:80" ht="12.95" customHeight="1" thickBot="1">
      <c r="A9" s="38"/>
      <c r="B9" s="508"/>
      <c r="C9" s="53"/>
      <c r="D9" s="830" t="s">
        <v>1373</v>
      </c>
      <c r="E9" s="831"/>
      <c r="F9" s="830" t="s">
        <v>2524</v>
      </c>
      <c r="G9" s="903"/>
      <c r="H9" s="831"/>
      <c r="I9" s="55" t="s">
        <v>1185</v>
      </c>
      <c r="J9" s="55" t="s">
        <v>1185</v>
      </c>
      <c r="K9" s="54" t="s">
        <v>1194</v>
      </c>
      <c r="L9" s="56" t="s">
        <v>2252</v>
      </c>
      <c r="M9" s="57" t="s">
        <v>2252</v>
      </c>
      <c r="N9" s="137" t="s">
        <v>1194</v>
      </c>
      <c r="O9" s="56" t="s">
        <v>1187</v>
      </c>
      <c r="P9" s="57" t="s">
        <v>1197</v>
      </c>
      <c r="Q9" s="137" t="s">
        <v>1194</v>
      </c>
      <c r="R9" s="56" t="s">
        <v>1187</v>
      </c>
      <c r="S9" s="57" t="s">
        <v>1197</v>
      </c>
      <c r="T9" s="137" t="s">
        <v>1194</v>
      </c>
      <c r="U9" s="56" t="s">
        <v>1187</v>
      </c>
      <c r="V9" s="57" t="s">
        <v>1197</v>
      </c>
      <c r="W9" s="137" t="s">
        <v>1194</v>
      </c>
      <c r="X9" s="56" t="s">
        <v>1187</v>
      </c>
      <c r="Y9" s="57" t="s">
        <v>1197</v>
      </c>
      <c r="Z9" s="137" t="s">
        <v>1194</v>
      </c>
      <c r="AA9" s="56" t="s">
        <v>1187</v>
      </c>
      <c r="AB9" s="57" t="s">
        <v>1197</v>
      </c>
      <c r="AC9" s="137" t="s">
        <v>1194</v>
      </c>
      <c r="AD9" s="56" t="s">
        <v>1187</v>
      </c>
      <c r="AE9" s="57" t="s">
        <v>1197</v>
      </c>
      <c r="AF9" s="137" t="s">
        <v>1194</v>
      </c>
      <c r="AG9" s="56" t="s">
        <v>1187</v>
      </c>
      <c r="AH9" s="57" t="s">
        <v>1197</v>
      </c>
      <c r="AI9" s="137" t="s">
        <v>1194</v>
      </c>
      <c r="AJ9" s="56" t="s">
        <v>1187</v>
      </c>
      <c r="AK9" s="57" t="s">
        <v>1197</v>
      </c>
      <c r="AL9" s="137" t="s">
        <v>1194</v>
      </c>
      <c r="AM9" s="56" t="s">
        <v>1187</v>
      </c>
      <c r="AN9" s="57" t="s">
        <v>1197</v>
      </c>
      <c r="AO9" s="137" t="s">
        <v>1194</v>
      </c>
      <c r="AP9" s="56" t="s">
        <v>1187</v>
      </c>
      <c r="AQ9" s="57" t="s">
        <v>1197</v>
      </c>
      <c r="AR9" s="137" t="s">
        <v>1194</v>
      </c>
      <c r="AS9" s="56" t="s">
        <v>1187</v>
      </c>
      <c r="AT9" s="57" t="s">
        <v>1197</v>
      </c>
      <c r="AU9" s="137" t="s">
        <v>1194</v>
      </c>
      <c r="AV9" s="56" t="s">
        <v>1187</v>
      </c>
      <c r="AW9" s="57" t="s">
        <v>1197</v>
      </c>
      <c r="AX9" s="137" t="s">
        <v>1194</v>
      </c>
      <c r="AY9" s="56" t="s">
        <v>1187</v>
      </c>
      <c r="AZ9" s="57" t="s">
        <v>1197</v>
      </c>
      <c r="BA9" s="137" t="s">
        <v>1194</v>
      </c>
      <c r="BB9" s="56" t="s">
        <v>1187</v>
      </c>
      <c r="BC9" s="57" t="s">
        <v>1197</v>
      </c>
      <c r="BD9" s="137" t="s">
        <v>1194</v>
      </c>
      <c r="BE9" s="56" t="s">
        <v>1187</v>
      </c>
      <c r="BF9" s="57" t="s">
        <v>1197</v>
      </c>
      <c r="BG9" s="51"/>
      <c r="BH9" s="51"/>
      <c r="BI9" s="51"/>
      <c r="BJ9" s="52"/>
      <c r="BK9" s="52"/>
      <c r="BL9" s="38"/>
      <c r="BM9" s="38"/>
      <c r="BN9" s="38"/>
      <c r="BO9" s="38"/>
      <c r="BP9" s="38"/>
      <c r="BQ9" s="38"/>
      <c r="BR9" s="38"/>
      <c r="BS9" s="38"/>
      <c r="BT9" s="38"/>
      <c r="BU9" s="38"/>
      <c r="BV9" s="38"/>
      <c r="BW9" s="38"/>
      <c r="BX9" s="38"/>
      <c r="BY9" s="38"/>
      <c r="BZ9" s="38"/>
      <c r="CA9" s="38"/>
      <c r="CB9" s="38"/>
    </row>
    <row r="10" spans="1:80" ht="12.95" customHeight="1">
      <c r="A10" s="38"/>
      <c r="B10" s="509" t="s">
        <v>1332</v>
      </c>
      <c r="C10" s="21" t="s">
        <v>1371</v>
      </c>
      <c r="D10" s="832" t="str">
        <f>'Glass Sched'!D4</f>
        <v>SE/SW</v>
      </c>
      <c r="E10" s="832"/>
      <c r="F10" s="836" t="str">
        <f>'Glass Sched'!C4</f>
        <v>1D-C, CLEAR, DOUBLE PANE, GLASS DOOR, WOOD/VINYL FRAME</v>
      </c>
      <c r="G10" s="837"/>
      <c r="H10" s="838"/>
      <c r="I10" s="58">
        <f>'Glass Sched'!E4</f>
        <v>45.029999999999994</v>
      </c>
      <c r="J10" s="58">
        <f>'Glass Sched'!H4</f>
        <v>12.6</v>
      </c>
      <c r="K10" s="60">
        <f t="shared" ref="K10:K49" si="0">BG10</f>
        <v>40</v>
      </c>
      <c r="L10" s="59">
        <f t="shared" ref="L10:L25" si="1">I10*K10</f>
        <v>1801.1999999999998</v>
      </c>
      <c r="M10" s="60">
        <f t="shared" ref="M10:M35" si="2">J10*K10</f>
        <v>504</v>
      </c>
      <c r="N10" s="566"/>
      <c r="O10" s="59">
        <f t="shared" ref="O10:O21" si="3">$I10*N10</f>
        <v>0</v>
      </c>
      <c r="P10" s="60">
        <f>$J$10*N10</f>
        <v>0</v>
      </c>
      <c r="Q10" s="566">
        <v>40</v>
      </c>
      <c r="R10" s="59">
        <f t="shared" ref="R10:R21" si="4">$I10*Q10</f>
        <v>1801.1999999999998</v>
      </c>
      <c r="S10" s="60">
        <f>$J$10*Q10</f>
        <v>504</v>
      </c>
      <c r="T10" s="566"/>
      <c r="U10" s="59">
        <f t="shared" ref="U10:U21" si="5">$I10*T10</f>
        <v>0</v>
      </c>
      <c r="V10" s="60">
        <f>$J$10*T10</f>
        <v>0</v>
      </c>
      <c r="W10" s="566"/>
      <c r="X10" s="59">
        <f t="shared" ref="X10:X21" si="6">$I10*W10</f>
        <v>0</v>
      </c>
      <c r="Y10" s="60">
        <f>$J$10*W10</f>
        <v>0</v>
      </c>
      <c r="Z10" s="566"/>
      <c r="AA10" s="59">
        <f t="shared" ref="AA10:AA21" si="7">$I10*Z10</f>
        <v>0</v>
      </c>
      <c r="AB10" s="60">
        <f>$J$10*Z10</f>
        <v>0</v>
      </c>
      <c r="AC10" s="566"/>
      <c r="AD10" s="59">
        <f t="shared" ref="AD10:AD21" si="8">$I10*AC10</f>
        <v>0</v>
      </c>
      <c r="AE10" s="60">
        <f>$J$10*AC10</f>
        <v>0</v>
      </c>
      <c r="AF10" s="566"/>
      <c r="AG10" s="59">
        <f t="shared" ref="AG10:AG21" si="9">$I10*AF10</f>
        <v>0</v>
      </c>
      <c r="AH10" s="60">
        <f>$J$10*AF10</f>
        <v>0</v>
      </c>
      <c r="AI10" s="566"/>
      <c r="AJ10" s="59">
        <f t="shared" ref="AJ10:AJ21" si="10">$I10*AI10</f>
        <v>0</v>
      </c>
      <c r="AK10" s="60">
        <f>$J$10*AI10</f>
        <v>0</v>
      </c>
      <c r="AL10" s="566"/>
      <c r="AM10" s="59">
        <f t="shared" ref="AM10:AM21" si="11">$I10*AL10</f>
        <v>0</v>
      </c>
      <c r="AN10" s="60">
        <f>$J$10*AL10</f>
        <v>0</v>
      </c>
      <c r="AO10" s="566"/>
      <c r="AP10" s="59">
        <f t="shared" ref="AP10:AP21" si="12">$I10*AO10</f>
        <v>0</v>
      </c>
      <c r="AQ10" s="60">
        <f>$J$10*AO10</f>
        <v>0</v>
      </c>
      <c r="AR10" s="566"/>
      <c r="AS10" s="59">
        <f t="shared" ref="AS10:AS21" si="13">$I10*AR10</f>
        <v>0</v>
      </c>
      <c r="AT10" s="60">
        <f>$J$10*AR10</f>
        <v>0</v>
      </c>
      <c r="AU10" s="566"/>
      <c r="AV10" s="59">
        <f t="shared" ref="AV10:AV21" si="14">$I10*AU10</f>
        <v>0</v>
      </c>
      <c r="AW10" s="60">
        <f>$J$10*AU10</f>
        <v>0</v>
      </c>
      <c r="AX10" s="566"/>
      <c r="AY10" s="59">
        <f t="shared" ref="AY10:AY21" si="15">$I10*AX10</f>
        <v>0</v>
      </c>
      <c r="AZ10" s="60">
        <f>$J$10*AX10</f>
        <v>0</v>
      </c>
      <c r="BA10" s="566"/>
      <c r="BB10" s="59">
        <f t="shared" ref="BB10:BB21" si="16">$I10*BA10</f>
        <v>0</v>
      </c>
      <c r="BC10" s="60">
        <f>$J$10*BA10</f>
        <v>0</v>
      </c>
      <c r="BD10" s="566"/>
      <c r="BE10" s="59">
        <f t="shared" ref="BE10:BE21" si="17">$I10*BD10</f>
        <v>0</v>
      </c>
      <c r="BF10" s="60">
        <f>$J$10*BD10</f>
        <v>0</v>
      </c>
      <c r="BG10" s="61">
        <f t="shared" ref="BG10:BG50" si="18">N10+Q10+T10+W10+Z10+AC10+AF10+AI10+AL10+AO10+AR10+AU10+AX10+BA10+BD10</f>
        <v>40</v>
      </c>
      <c r="BH10" s="61">
        <f t="shared" ref="BH10:BH51" si="19">O10+R10+U10+X10+AA10+AD10+AG10+AJ10+AM10+AP10+AS10+AV10+AY10+BB10+BE10</f>
        <v>1801.1999999999998</v>
      </c>
      <c r="BI10" s="61">
        <f t="shared" ref="BI10:BI51" si="20">P10+S10+V10+Y10+AB10+AE10+AH10+AK10+AN10+AQ10+AT10+AW10+AZ10+BC10+BF10</f>
        <v>504</v>
      </c>
      <c r="BJ10" s="52"/>
      <c r="BK10" s="52"/>
      <c r="BL10" s="38"/>
      <c r="BM10" s="38"/>
      <c r="BN10" s="38"/>
      <c r="BO10" s="38"/>
      <c r="BP10" s="38"/>
      <c r="BQ10" s="38"/>
      <c r="BR10" s="38"/>
      <c r="BS10" s="38"/>
      <c r="BT10" s="38"/>
      <c r="BU10" s="38"/>
      <c r="BV10" s="38"/>
      <c r="BW10" s="38"/>
      <c r="BX10" s="38"/>
      <c r="BY10" s="38"/>
      <c r="BZ10" s="38"/>
      <c r="CA10" s="38"/>
      <c r="CB10" s="38"/>
    </row>
    <row r="11" spans="1:80" ht="12.95" customHeight="1">
      <c r="A11" s="38"/>
      <c r="B11" s="510"/>
      <c r="C11" s="22" t="s">
        <v>1372</v>
      </c>
      <c r="D11" s="720" t="str">
        <f>'Glass Sched'!D5</f>
        <v>NE/NW</v>
      </c>
      <c r="E11" s="720"/>
      <c r="F11" s="833" t="str">
        <f>'Glass Sched'!C5</f>
        <v>1D-C, CLEAR, DOUBLE PANE, GLASS DOOR, WOOD/VINYL FRAME</v>
      </c>
      <c r="G11" s="834"/>
      <c r="H11" s="835"/>
      <c r="I11" s="62">
        <f>'Glass Sched'!E5</f>
        <v>45.029999999999994</v>
      </c>
      <c r="J11" s="62">
        <f>'Glass Sched'!H5</f>
        <v>38.060759493670879</v>
      </c>
      <c r="K11" s="64">
        <f t="shared" si="0"/>
        <v>19.75</v>
      </c>
      <c r="L11" s="63">
        <f t="shared" si="1"/>
        <v>889.34249999999986</v>
      </c>
      <c r="M11" s="64">
        <f t="shared" si="2"/>
        <v>751.69999999999982</v>
      </c>
      <c r="N11" s="567">
        <v>19.75</v>
      </c>
      <c r="O11" s="63">
        <f t="shared" si="3"/>
        <v>889.34249999999986</v>
      </c>
      <c r="P11" s="64">
        <f>$J$11*N11</f>
        <v>751.69999999999982</v>
      </c>
      <c r="Q11" s="567"/>
      <c r="R11" s="63">
        <f t="shared" si="4"/>
        <v>0</v>
      </c>
      <c r="S11" s="64">
        <f>$J$11*Q11</f>
        <v>0</v>
      </c>
      <c r="T11" s="567"/>
      <c r="U11" s="63">
        <f t="shared" si="5"/>
        <v>0</v>
      </c>
      <c r="V11" s="64">
        <f>$J$11*T11</f>
        <v>0</v>
      </c>
      <c r="W11" s="567"/>
      <c r="X11" s="63">
        <f t="shared" si="6"/>
        <v>0</v>
      </c>
      <c r="Y11" s="64">
        <f>$J$11*W11</f>
        <v>0</v>
      </c>
      <c r="Z11" s="567"/>
      <c r="AA11" s="63">
        <f t="shared" si="7"/>
        <v>0</v>
      </c>
      <c r="AB11" s="64">
        <f>$J$11*Z11</f>
        <v>0</v>
      </c>
      <c r="AC11" s="567"/>
      <c r="AD11" s="63">
        <f t="shared" si="8"/>
        <v>0</v>
      </c>
      <c r="AE11" s="64">
        <f>$J$11*AC11</f>
        <v>0</v>
      </c>
      <c r="AF11" s="567"/>
      <c r="AG11" s="63">
        <f t="shared" si="9"/>
        <v>0</v>
      </c>
      <c r="AH11" s="64">
        <f>$J$11*AF11</f>
        <v>0</v>
      </c>
      <c r="AI11" s="567"/>
      <c r="AJ11" s="63">
        <f t="shared" si="10"/>
        <v>0</v>
      </c>
      <c r="AK11" s="64">
        <f>$J$11*AI11</f>
        <v>0</v>
      </c>
      <c r="AL11" s="567"/>
      <c r="AM11" s="63">
        <f t="shared" si="11"/>
        <v>0</v>
      </c>
      <c r="AN11" s="64">
        <f>$J$11*AL11</f>
        <v>0</v>
      </c>
      <c r="AO11" s="567"/>
      <c r="AP11" s="63">
        <f t="shared" si="12"/>
        <v>0</v>
      </c>
      <c r="AQ11" s="64">
        <f>$J$11*AO11</f>
        <v>0</v>
      </c>
      <c r="AR11" s="567"/>
      <c r="AS11" s="63">
        <f t="shared" si="13"/>
        <v>0</v>
      </c>
      <c r="AT11" s="64">
        <f>$J$11*AR11</f>
        <v>0</v>
      </c>
      <c r="AU11" s="567"/>
      <c r="AV11" s="63">
        <f t="shared" si="14"/>
        <v>0</v>
      </c>
      <c r="AW11" s="64">
        <f>$J$11*AU11</f>
        <v>0</v>
      </c>
      <c r="AX11" s="567"/>
      <c r="AY11" s="63">
        <f t="shared" si="15"/>
        <v>0</v>
      </c>
      <c r="AZ11" s="64">
        <f>$J$11*AX11</f>
        <v>0</v>
      </c>
      <c r="BA11" s="567"/>
      <c r="BB11" s="63">
        <f t="shared" si="16"/>
        <v>0</v>
      </c>
      <c r="BC11" s="64">
        <f>$J$11*BA11</f>
        <v>0</v>
      </c>
      <c r="BD11" s="567"/>
      <c r="BE11" s="63">
        <f t="shared" si="17"/>
        <v>0</v>
      </c>
      <c r="BF11" s="64">
        <f>$J$11*BD11</f>
        <v>0</v>
      </c>
      <c r="BG11" s="61">
        <f t="shared" si="18"/>
        <v>19.75</v>
      </c>
      <c r="BH11" s="61">
        <f t="shared" si="19"/>
        <v>889.34249999999986</v>
      </c>
      <c r="BI11" s="61">
        <f t="shared" si="20"/>
        <v>751.69999999999982</v>
      </c>
      <c r="BJ11" s="52"/>
      <c r="BK11" s="52"/>
      <c r="BL11" s="38"/>
      <c r="BM11" s="38"/>
      <c r="BN11" s="38"/>
      <c r="BO11" s="38"/>
      <c r="BP11" s="38"/>
      <c r="BQ11" s="38"/>
      <c r="BR11" s="38"/>
      <c r="BS11" s="38"/>
      <c r="BT11" s="38"/>
      <c r="BU11" s="38"/>
      <c r="BV11" s="38"/>
      <c r="BW11" s="38"/>
      <c r="BX11" s="38"/>
      <c r="BY11" s="38"/>
      <c r="BZ11" s="38"/>
      <c r="CA11" s="38"/>
      <c r="CB11" s="38"/>
    </row>
    <row r="12" spans="1:80" ht="12.95" customHeight="1">
      <c r="A12" s="38"/>
      <c r="B12" s="510"/>
      <c r="C12" s="22" t="s">
        <v>1207</v>
      </c>
      <c r="D12" s="720" t="str">
        <f>'Glass Sched'!D6</f>
        <v>SE/SW</v>
      </c>
      <c r="E12" s="720"/>
      <c r="F12" s="833" t="str">
        <f>'Glass Sched'!C6</f>
        <v>1D-C, CLEAR, DOUBLE PANE, GLASS DOOR, WOOD/VINYL FRAME</v>
      </c>
      <c r="G12" s="834"/>
      <c r="H12" s="835"/>
      <c r="I12" s="62">
        <f>'Glass Sched'!E6</f>
        <v>45.029999999999994</v>
      </c>
      <c r="J12" s="62">
        <f>'Glass Sched'!H6</f>
        <v>12.6</v>
      </c>
      <c r="K12" s="64">
        <f t="shared" si="0"/>
        <v>37.85</v>
      </c>
      <c r="L12" s="63">
        <f t="shared" si="1"/>
        <v>1704.3854999999999</v>
      </c>
      <c r="M12" s="64">
        <f t="shared" si="2"/>
        <v>476.91</v>
      </c>
      <c r="N12" s="567"/>
      <c r="O12" s="63">
        <f t="shared" si="3"/>
        <v>0</v>
      </c>
      <c r="P12" s="64">
        <f>$J$12*N12</f>
        <v>0</v>
      </c>
      <c r="Q12" s="567"/>
      <c r="R12" s="63">
        <f t="shared" si="4"/>
        <v>0</v>
      </c>
      <c r="S12" s="64">
        <f>$J$12*Q12</f>
        <v>0</v>
      </c>
      <c r="T12" s="567"/>
      <c r="U12" s="63">
        <f t="shared" si="5"/>
        <v>0</v>
      </c>
      <c r="V12" s="64">
        <f>$J$12*T12</f>
        <v>0</v>
      </c>
      <c r="W12" s="567"/>
      <c r="X12" s="63">
        <f t="shared" si="6"/>
        <v>0</v>
      </c>
      <c r="Y12" s="64">
        <f>$J$12*W12</f>
        <v>0</v>
      </c>
      <c r="Z12" s="567"/>
      <c r="AA12" s="63">
        <f t="shared" si="7"/>
        <v>0</v>
      </c>
      <c r="AB12" s="64">
        <f>$J$12*Z12</f>
        <v>0</v>
      </c>
      <c r="AC12" s="567">
        <v>37.85</v>
      </c>
      <c r="AD12" s="63">
        <f t="shared" si="8"/>
        <v>1704.3854999999999</v>
      </c>
      <c r="AE12" s="64">
        <f>$J$12*AC12</f>
        <v>476.91</v>
      </c>
      <c r="AF12" s="567"/>
      <c r="AG12" s="63">
        <f t="shared" si="9"/>
        <v>0</v>
      </c>
      <c r="AH12" s="64">
        <f>$J$12*AF12</f>
        <v>0</v>
      </c>
      <c r="AI12" s="567"/>
      <c r="AJ12" s="63">
        <f t="shared" si="10"/>
        <v>0</v>
      </c>
      <c r="AK12" s="64">
        <f>$J$12*AI12</f>
        <v>0</v>
      </c>
      <c r="AL12" s="567"/>
      <c r="AM12" s="63">
        <f t="shared" si="11"/>
        <v>0</v>
      </c>
      <c r="AN12" s="64">
        <f>$J$12*AL12</f>
        <v>0</v>
      </c>
      <c r="AO12" s="567"/>
      <c r="AP12" s="63">
        <f t="shared" si="12"/>
        <v>0</v>
      </c>
      <c r="AQ12" s="64">
        <f>$J$12*AO12</f>
        <v>0</v>
      </c>
      <c r="AR12" s="567"/>
      <c r="AS12" s="63">
        <f t="shared" si="13"/>
        <v>0</v>
      </c>
      <c r="AT12" s="64">
        <f>$J$12*AR12</f>
        <v>0</v>
      </c>
      <c r="AU12" s="567"/>
      <c r="AV12" s="63">
        <f t="shared" si="14"/>
        <v>0</v>
      </c>
      <c r="AW12" s="64">
        <f>$J$12*AU12</f>
        <v>0</v>
      </c>
      <c r="AX12" s="567"/>
      <c r="AY12" s="63">
        <f t="shared" si="15"/>
        <v>0</v>
      </c>
      <c r="AZ12" s="64">
        <f>$J$12*AX12</f>
        <v>0</v>
      </c>
      <c r="BA12" s="567"/>
      <c r="BB12" s="63">
        <f t="shared" si="16"/>
        <v>0</v>
      </c>
      <c r="BC12" s="64">
        <f>$J$12*BA12</f>
        <v>0</v>
      </c>
      <c r="BD12" s="567"/>
      <c r="BE12" s="63">
        <f t="shared" si="17"/>
        <v>0</v>
      </c>
      <c r="BF12" s="64">
        <f>$J$12*BD12</f>
        <v>0</v>
      </c>
      <c r="BG12" s="61">
        <f t="shared" si="18"/>
        <v>37.85</v>
      </c>
      <c r="BH12" s="61">
        <f t="shared" si="19"/>
        <v>1704.3854999999999</v>
      </c>
      <c r="BI12" s="61">
        <f t="shared" si="20"/>
        <v>476.91</v>
      </c>
      <c r="BJ12" s="65"/>
      <c r="BK12" s="65"/>
      <c r="BL12" s="38"/>
      <c r="BM12" s="38"/>
      <c r="BN12" s="38"/>
      <c r="BO12" s="38"/>
      <c r="BP12" s="38"/>
      <c r="BQ12" s="38"/>
      <c r="BR12" s="38"/>
      <c r="BS12" s="38"/>
      <c r="BT12" s="38"/>
      <c r="BU12" s="38"/>
      <c r="BV12" s="38"/>
      <c r="BW12" s="38"/>
      <c r="BX12" s="38"/>
      <c r="BY12" s="38"/>
      <c r="BZ12" s="38"/>
      <c r="CA12" s="38"/>
      <c r="CB12" s="38"/>
    </row>
    <row r="13" spans="1:80" ht="12.95" customHeight="1">
      <c r="A13" s="38"/>
      <c r="B13" s="510"/>
      <c r="C13" s="22"/>
      <c r="D13" s="720" t="str">
        <f>'Glass Sched'!D7</f>
        <v>NE/NW</v>
      </c>
      <c r="E13" s="720"/>
      <c r="F13" s="833" t="str">
        <f>'Glass Sched'!C7</f>
        <v>1D-C, CLEAR, DOUBLE PANE, OPERABLE WINDOW, WOOD/VINYL FRAME</v>
      </c>
      <c r="G13" s="834"/>
      <c r="H13" s="835"/>
      <c r="I13" s="62">
        <f>'Glass Sched'!E7</f>
        <v>45.029999999999994</v>
      </c>
      <c r="J13" s="62">
        <f>'Glass Sched'!H7</f>
        <v>34.221596244131462</v>
      </c>
      <c r="K13" s="64">
        <f t="shared" si="0"/>
        <v>52.88</v>
      </c>
      <c r="L13" s="63">
        <f t="shared" si="1"/>
        <v>2381.1863999999996</v>
      </c>
      <c r="M13" s="64">
        <f t="shared" si="2"/>
        <v>1809.6380093896719</v>
      </c>
      <c r="N13" s="567"/>
      <c r="O13" s="63">
        <f t="shared" si="3"/>
        <v>0</v>
      </c>
      <c r="P13" s="64">
        <f>$J$13*N13</f>
        <v>0</v>
      </c>
      <c r="Q13" s="567">
        <v>13.22</v>
      </c>
      <c r="R13" s="63">
        <f t="shared" si="4"/>
        <v>595.2965999999999</v>
      </c>
      <c r="S13" s="64">
        <f>$J$13*Q13</f>
        <v>452.40950234741797</v>
      </c>
      <c r="T13" s="567">
        <v>13.22</v>
      </c>
      <c r="U13" s="63">
        <f t="shared" si="5"/>
        <v>595.2965999999999</v>
      </c>
      <c r="V13" s="64">
        <f>$J$13*T13</f>
        <v>452.40950234741797</v>
      </c>
      <c r="W13" s="567"/>
      <c r="X13" s="63">
        <f t="shared" si="6"/>
        <v>0</v>
      </c>
      <c r="Y13" s="64">
        <f>$J$13*W13</f>
        <v>0</v>
      </c>
      <c r="Z13" s="567"/>
      <c r="AA13" s="63">
        <f t="shared" si="7"/>
        <v>0</v>
      </c>
      <c r="AB13" s="64">
        <f>$J$13*Z13</f>
        <v>0</v>
      </c>
      <c r="AC13" s="567"/>
      <c r="AD13" s="63">
        <f t="shared" si="8"/>
        <v>0</v>
      </c>
      <c r="AE13" s="64">
        <f>$J$13*AC13</f>
        <v>0</v>
      </c>
      <c r="AF13" s="567">
        <f>2*13.22</f>
        <v>26.44</v>
      </c>
      <c r="AG13" s="63">
        <f t="shared" si="9"/>
        <v>1190.5931999999998</v>
      </c>
      <c r="AH13" s="64">
        <f>$J$13*AF13</f>
        <v>904.81900469483594</v>
      </c>
      <c r="AI13" s="567"/>
      <c r="AJ13" s="63">
        <f t="shared" si="10"/>
        <v>0</v>
      </c>
      <c r="AK13" s="64">
        <f>$J$13*AI13</f>
        <v>0</v>
      </c>
      <c r="AL13" s="567"/>
      <c r="AM13" s="63">
        <f t="shared" si="11"/>
        <v>0</v>
      </c>
      <c r="AN13" s="64">
        <f>$J$13*AL13</f>
        <v>0</v>
      </c>
      <c r="AO13" s="567"/>
      <c r="AP13" s="63">
        <f t="shared" si="12"/>
        <v>0</v>
      </c>
      <c r="AQ13" s="64">
        <f>$J$13*AO13</f>
        <v>0</v>
      </c>
      <c r="AR13" s="567"/>
      <c r="AS13" s="63">
        <f t="shared" si="13"/>
        <v>0</v>
      </c>
      <c r="AT13" s="64">
        <f>$J$13*AR13</f>
        <v>0</v>
      </c>
      <c r="AU13" s="567"/>
      <c r="AV13" s="63">
        <f t="shared" si="14"/>
        <v>0</v>
      </c>
      <c r="AW13" s="64">
        <f>$J$13*AU13</f>
        <v>0</v>
      </c>
      <c r="AX13" s="567"/>
      <c r="AY13" s="63">
        <f t="shared" si="15"/>
        <v>0</v>
      </c>
      <c r="AZ13" s="64">
        <f>$J$13*AX13</f>
        <v>0</v>
      </c>
      <c r="BA13" s="567"/>
      <c r="BB13" s="63">
        <f t="shared" si="16"/>
        <v>0</v>
      </c>
      <c r="BC13" s="64">
        <f>$J$13*BA13</f>
        <v>0</v>
      </c>
      <c r="BD13" s="567"/>
      <c r="BE13" s="63">
        <f t="shared" si="17"/>
        <v>0</v>
      </c>
      <c r="BF13" s="64">
        <f>$J$13*BD13</f>
        <v>0</v>
      </c>
      <c r="BG13" s="61">
        <f t="shared" si="18"/>
        <v>52.88</v>
      </c>
      <c r="BH13" s="61">
        <f t="shared" si="19"/>
        <v>2381.1863999999996</v>
      </c>
      <c r="BI13" s="61">
        <f t="shared" si="20"/>
        <v>1809.6380093896719</v>
      </c>
      <c r="BJ13" s="65"/>
      <c r="BK13" s="66"/>
      <c r="BL13" s="38"/>
      <c r="BM13" s="38"/>
      <c r="BN13" s="38"/>
      <c r="BO13" s="38"/>
      <c r="BP13" s="38"/>
      <c r="BQ13" s="38"/>
      <c r="BR13" s="38"/>
      <c r="BS13" s="38"/>
      <c r="BT13" s="38"/>
      <c r="BU13" s="38"/>
      <c r="BV13" s="38"/>
      <c r="BW13" s="38"/>
      <c r="BX13" s="38"/>
      <c r="BY13" s="38"/>
      <c r="BZ13" s="38"/>
      <c r="CA13" s="38"/>
      <c r="CB13" s="38"/>
    </row>
    <row r="14" spans="1:80" ht="12.95" customHeight="1">
      <c r="A14" s="38"/>
      <c r="B14" s="510"/>
      <c r="C14" s="22"/>
      <c r="D14" s="720" t="str">
        <f>'Glass Sched'!D8</f>
        <v>NE/NW</v>
      </c>
      <c r="E14" s="720"/>
      <c r="F14" s="833" t="str">
        <f>'Glass Sched'!C8</f>
        <v>1D-C, CLEAR, DOUBLE PANE, OPERABLE WINDOW, WOOD/VINYL FRAME</v>
      </c>
      <c r="G14" s="834"/>
      <c r="H14" s="835"/>
      <c r="I14" s="62">
        <f>'Glass Sched'!E8</f>
        <v>45.029999999999994</v>
      </c>
      <c r="J14" s="62">
        <f>'Glass Sched'!H8</f>
        <v>46</v>
      </c>
      <c r="K14" s="64">
        <f t="shared" si="0"/>
        <v>26.22</v>
      </c>
      <c r="L14" s="63">
        <f t="shared" si="1"/>
        <v>1180.6865999999998</v>
      </c>
      <c r="M14" s="64">
        <f t="shared" si="2"/>
        <v>1206.1199999999999</v>
      </c>
      <c r="N14" s="567"/>
      <c r="O14" s="63">
        <f t="shared" si="3"/>
        <v>0</v>
      </c>
      <c r="P14" s="64">
        <f>$J$14*N14</f>
        <v>0</v>
      </c>
      <c r="Q14" s="567"/>
      <c r="R14" s="63">
        <f t="shared" si="4"/>
        <v>0</v>
      </c>
      <c r="S14" s="64">
        <f>$J$14*Q14</f>
        <v>0</v>
      </c>
      <c r="T14" s="567">
        <v>13.22</v>
      </c>
      <c r="U14" s="63">
        <f t="shared" si="5"/>
        <v>595.2965999999999</v>
      </c>
      <c r="V14" s="64">
        <f>$J$14*T14</f>
        <v>608.12</v>
      </c>
      <c r="W14" s="567">
        <v>13</v>
      </c>
      <c r="X14" s="63">
        <f t="shared" si="6"/>
        <v>585.38999999999987</v>
      </c>
      <c r="Y14" s="64">
        <f>$J$14*W14</f>
        <v>598</v>
      </c>
      <c r="Z14" s="567"/>
      <c r="AA14" s="63">
        <f t="shared" si="7"/>
        <v>0</v>
      </c>
      <c r="AB14" s="64">
        <f>$J$14*Z14</f>
        <v>0</v>
      </c>
      <c r="AC14" s="567"/>
      <c r="AD14" s="63">
        <f t="shared" si="8"/>
        <v>0</v>
      </c>
      <c r="AE14" s="64">
        <f>$J$14*AC14</f>
        <v>0</v>
      </c>
      <c r="AF14" s="567"/>
      <c r="AG14" s="63">
        <f t="shared" si="9"/>
        <v>0</v>
      </c>
      <c r="AH14" s="64">
        <f>$J$14*AF14</f>
        <v>0</v>
      </c>
      <c r="AI14" s="567"/>
      <c r="AJ14" s="63">
        <f t="shared" si="10"/>
        <v>0</v>
      </c>
      <c r="AK14" s="64">
        <f>$J$14*AI14</f>
        <v>0</v>
      </c>
      <c r="AL14" s="567"/>
      <c r="AM14" s="63">
        <f t="shared" si="11"/>
        <v>0</v>
      </c>
      <c r="AN14" s="64">
        <f>$J$14*AL14</f>
        <v>0</v>
      </c>
      <c r="AO14" s="567"/>
      <c r="AP14" s="63">
        <f t="shared" si="12"/>
        <v>0</v>
      </c>
      <c r="AQ14" s="64">
        <f>$J$14*AO14</f>
        <v>0</v>
      </c>
      <c r="AR14" s="567"/>
      <c r="AS14" s="63">
        <f t="shared" si="13"/>
        <v>0</v>
      </c>
      <c r="AT14" s="64">
        <f>$J$14*AR14</f>
        <v>0</v>
      </c>
      <c r="AU14" s="567"/>
      <c r="AV14" s="63">
        <f t="shared" si="14"/>
        <v>0</v>
      </c>
      <c r="AW14" s="64">
        <f>$J$14*AU14</f>
        <v>0</v>
      </c>
      <c r="AX14" s="567"/>
      <c r="AY14" s="63">
        <f t="shared" si="15"/>
        <v>0</v>
      </c>
      <c r="AZ14" s="64">
        <f>$J$14*AX14</f>
        <v>0</v>
      </c>
      <c r="BA14" s="567"/>
      <c r="BB14" s="63">
        <f t="shared" si="16"/>
        <v>0</v>
      </c>
      <c r="BC14" s="64">
        <f>$J$14*BA14</f>
        <v>0</v>
      </c>
      <c r="BD14" s="567"/>
      <c r="BE14" s="63">
        <f t="shared" si="17"/>
        <v>0</v>
      </c>
      <c r="BF14" s="64">
        <f>$J$14*BD14</f>
        <v>0</v>
      </c>
      <c r="BG14" s="61">
        <f t="shared" si="18"/>
        <v>26.22</v>
      </c>
      <c r="BH14" s="61">
        <f t="shared" si="19"/>
        <v>1180.6865999999998</v>
      </c>
      <c r="BI14" s="61">
        <f t="shared" si="20"/>
        <v>1206.1199999999999</v>
      </c>
      <c r="BJ14" s="65"/>
      <c r="BK14" s="66"/>
      <c r="BL14" s="38"/>
      <c r="BM14" s="38"/>
      <c r="BN14" s="38"/>
      <c r="BO14" s="38"/>
      <c r="BP14" s="38"/>
      <c r="BQ14" s="38"/>
      <c r="BR14" s="38"/>
      <c r="BS14" s="38"/>
      <c r="BT14" s="38"/>
      <c r="BU14" s="38"/>
      <c r="BV14" s="38"/>
      <c r="BW14" s="38"/>
      <c r="BX14" s="38"/>
      <c r="BY14" s="38"/>
      <c r="BZ14" s="38"/>
      <c r="CA14" s="38"/>
      <c r="CB14" s="38"/>
    </row>
    <row r="15" spans="1:80" ht="12.95" customHeight="1">
      <c r="A15" s="38"/>
      <c r="B15" s="510"/>
      <c r="C15" s="22"/>
      <c r="D15" s="720" t="str">
        <f>'Glass Sched'!D9</f>
        <v>SE/SW</v>
      </c>
      <c r="E15" s="720"/>
      <c r="F15" s="833" t="str">
        <f>'Glass Sched'!C9</f>
        <v>1D-C, CLEAR, DOUBLE PANE, OPERABLE WINDOW, WOOD/VINYL FRAME</v>
      </c>
      <c r="G15" s="834"/>
      <c r="H15" s="835"/>
      <c r="I15" s="62">
        <f>'Glass Sched'!E9</f>
        <v>45.029999999999994</v>
      </c>
      <c r="J15" s="62">
        <f>'Glass Sched'!H9</f>
        <v>18</v>
      </c>
      <c r="K15" s="64">
        <f t="shared" si="0"/>
        <v>32.44</v>
      </c>
      <c r="L15" s="63">
        <f t="shared" si="1"/>
        <v>1460.7731999999996</v>
      </c>
      <c r="M15" s="64">
        <f t="shared" si="2"/>
        <v>583.91999999999996</v>
      </c>
      <c r="N15" s="567">
        <f>2*13.22</f>
        <v>26.44</v>
      </c>
      <c r="O15" s="63">
        <f t="shared" si="3"/>
        <v>1190.5931999999998</v>
      </c>
      <c r="P15" s="64">
        <f>$J$15*N15</f>
        <v>475.92</v>
      </c>
      <c r="Q15" s="567"/>
      <c r="R15" s="63">
        <f t="shared" si="4"/>
        <v>0</v>
      </c>
      <c r="S15" s="64">
        <f>$J$15*Q15</f>
        <v>0</v>
      </c>
      <c r="T15" s="567"/>
      <c r="U15" s="63">
        <f t="shared" si="5"/>
        <v>0</v>
      </c>
      <c r="V15" s="64">
        <f>$J$15*T15</f>
        <v>0</v>
      </c>
      <c r="W15" s="567"/>
      <c r="X15" s="63">
        <f t="shared" si="6"/>
        <v>0</v>
      </c>
      <c r="Y15" s="64">
        <f>$J$15*W15</f>
        <v>0</v>
      </c>
      <c r="Z15" s="567">
        <v>6</v>
      </c>
      <c r="AA15" s="63">
        <f t="shared" si="7"/>
        <v>270.17999999999995</v>
      </c>
      <c r="AB15" s="64">
        <f>$J$15*Z15</f>
        <v>108</v>
      </c>
      <c r="AC15" s="567"/>
      <c r="AD15" s="63">
        <f t="shared" si="8"/>
        <v>0</v>
      </c>
      <c r="AE15" s="64">
        <f>$J$15*AC15</f>
        <v>0</v>
      </c>
      <c r="AF15" s="567"/>
      <c r="AG15" s="63">
        <f t="shared" si="9"/>
        <v>0</v>
      </c>
      <c r="AH15" s="64">
        <f>$J$15*AF15</f>
        <v>0</v>
      </c>
      <c r="AI15" s="567"/>
      <c r="AJ15" s="63">
        <f t="shared" si="10"/>
        <v>0</v>
      </c>
      <c r="AK15" s="64">
        <f>$J$15*AI15</f>
        <v>0</v>
      </c>
      <c r="AL15" s="567"/>
      <c r="AM15" s="63">
        <f t="shared" si="11"/>
        <v>0</v>
      </c>
      <c r="AN15" s="64">
        <f>$J$15*AL15</f>
        <v>0</v>
      </c>
      <c r="AO15" s="567"/>
      <c r="AP15" s="63">
        <f t="shared" si="12"/>
        <v>0</v>
      </c>
      <c r="AQ15" s="64">
        <f>$J$15*AO15</f>
        <v>0</v>
      </c>
      <c r="AR15" s="567"/>
      <c r="AS15" s="63">
        <f t="shared" si="13"/>
        <v>0</v>
      </c>
      <c r="AT15" s="64">
        <f>$J$15*AR15</f>
        <v>0</v>
      </c>
      <c r="AU15" s="567"/>
      <c r="AV15" s="63">
        <f t="shared" si="14"/>
        <v>0</v>
      </c>
      <c r="AW15" s="64">
        <f>$J$15*AU15</f>
        <v>0</v>
      </c>
      <c r="AX15" s="567"/>
      <c r="AY15" s="63">
        <f t="shared" si="15"/>
        <v>0</v>
      </c>
      <c r="AZ15" s="64">
        <f>$J$15*AX15</f>
        <v>0</v>
      </c>
      <c r="BA15" s="567"/>
      <c r="BB15" s="63">
        <f t="shared" si="16"/>
        <v>0</v>
      </c>
      <c r="BC15" s="64">
        <f>$J$15*BA15</f>
        <v>0</v>
      </c>
      <c r="BD15" s="567"/>
      <c r="BE15" s="63">
        <f t="shared" si="17"/>
        <v>0</v>
      </c>
      <c r="BF15" s="64">
        <f>$J$15*BD15</f>
        <v>0</v>
      </c>
      <c r="BG15" s="61">
        <f t="shared" si="18"/>
        <v>32.44</v>
      </c>
      <c r="BH15" s="61">
        <f t="shared" si="19"/>
        <v>1460.7731999999996</v>
      </c>
      <c r="BI15" s="61">
        <f t="shared" si="20"/>
        <v>583.92000000000007</v>
      </c>
      <c r="BJ15" s="65"/>
      <c r="BK15" s="66"/>
      <c r="BL15" s="38"/>
      <c r="BM15" s="38"/>
      <c r="BN15" s="38"/>
      <c r="BO15" s="38"/>
      <c r="BP15" s="38"/>
      <c r="BQ15" s="38"/>
      <c r="BR15" s="38"/>
      <c r="BS15" s="38"/>
      <c r="BT15" s="38"/>
      <c r="BU15" s="38"/>
      <c r="BV15" s="38"/>
      <c r="BW15" s="38"/>
      <c r="BX15" s="38"/>
      <c r="BY15" s="38"/>
      <c r="BZ15" s="38"/>
      <c r="CA15" s="38"/>
      <c r="CB15" s="38"/>
    </row>
    <row r="16" spans="1:80" ht="12.95" customHeight="1">
      <c r="A16" s="38"/>
      <c r="B16" s="510"/>
      <c r="C16" s="22"/>
      <c r="D16" s="720" t="str">
        <f>'Glass Sched'!D10</f>
        <v>NE/NW</v>
      </c>
      <c r="E16" s="720"/>
      <c r="F16" s="833" t="str">
        <f>'Glass Sched'!C10</f>
        <v>1D-C, CLEAR, DOUBLE PANE, OPERABLE WINDOW, WOOD/VINYL FRAME</v>
      </c>
      <c r="G16" s="834"/>
      <c r="H16" s="835"/>
      <c r="I16" s="62">
        <f>'Glass Sched'!E10</f>
        <v>45.029999999999994</v>
      </c>
      <c r="J16" s="62">
        <f>'Glass Sched'!H10</f>
        <v>29.162416107382548</v>
      </c>
      <c r="K16" s="64">
        <f t="shared" si="0"/>
        <v>9.25</v>
      </c>
      <c r="L16" s="63">
        <f t="shared" si="1"/>
        <v>416.52749999999992</v>
      </c>
      <c r="M16" s="64">
        <f t="shared" si="2"/>
        <v>269.75234899328859</v>
      </c>
      <c r="N16" s="658"/>
      <c r="O16" s="63">
        <f t="shared" si="3"/>
        <v>0</v>
      </c>
      <c r="P16" s="64">
        <f>$J$16*N16</f>
        <v>0</v>
      </c>
      <c r="Q16" s="567">
        <v>9.25</v>
      </c>
      <c r="R16" s="63">
        <f t="shared" si="4"/>
        <v>416.52749999999992</v>
      </c>
      <c r="S16" s="64">
        <f>$J$16*Q16</f>
        <v>269.75234899328859</v>
      </c>
      <c r="T16" s="567"/>
      <c r="U16" s="63">
        <f t="shared" si="5"/>
        <v>0</v>
      </c>
      <c r="V16" s="64">
        <f>$J$16*T16</f>
        <v>0</v>
      </c>
      <c r="W16" s="567"/>
      <c r="X16" s="63">
        <f t="shared" si="6"/>
        <v>0</v>
      </c>
      <c r="Y16" s="64">
        <f>$J$16*W16</f>
        <v>0</v>
      </c>
      <c r="Z16" s="567"/>
      <c r="AA16" s="63">
        <f t="shared" si="7"/>
        <v>0</v>
      </c>
      <c r="AB16" s="64">
        <f>$J$16*Z16</f>
        <v>0</v>
      </c>
      <c r="AC16" s="567"/>
      <c r="AD16" s="63">
        <f t="shared" si="8"/>
        <v>0</v>
      </c>
      <c r="AE16" s="64">
        <f>$J$16*AC16</f>
        <v>0</v>
      </c>
      <c r="AF16" s="567"/>
      <c r="AG16" s="63">
        <f t="shared" si="9"/>
        <v>0</v>
      </c>
      <c r="AH16" s="64">
        <f>$J$16*AF16</f>
        <v>0</v>
      </c>
      <c r="AI16" s="567"/>
      <c r="AJ16" s="63">
        <f t="shared" si="10"/>
        <v>0</v>
      </c>
      <c r="AK16" s="64">
        <f>$J$16*AI16</f>
        <v>0</v>
      </c>
      <c r="AL16" s="567"/>
      <c r="AM16" s="63">
        <f t="shared" si="11"/>
        <v>0</v>
      </c>
      <c r="AN16" s="64">
        <f>$J$16*AL16</f>
        <v>0</v>
      </c>
      <c r="AO16" s="567"/>
      <c r="AP16" s="63">
        <f t="shared" si="12"/>
        <v>0</v>
      </c>
      <c r="AQ16" s="64">
        <f>$J$16*AO16</f>
        <v>0</v>
      </c>
      <c r="AR16" s="567"/>
      <c r="AS16" s="63">
        <f t="shared" si="13"/>
        <v>0</v>
      </c>
      <c r="AT16" s="64">
        <f>$J$16*AR16</f>
        <v>0</v>
      </c>
      <c r="AU16" s="567"/>
      <c r="AV16" s="63">
        <f t="shared" si="14"/>
        <v>0</v>
      </c>
      <c r="AW16" s="64">
        <f>$J$16*AU16</f>
        <v>0</v>
      </c>
      <c r="AX16" s="567"/>
      <c r="AY16" s="63">
        <f t="shared" si="15"/>
        <v>0</v>
      </c>
      <c r="AZ16" s="64">
        <f>$J$16*AX16</f>
        <v>0</v>
      </c>
      <c r="BA16" s="567"/>
      <c r="BB16" s="63">
        <f t="shared" si="16"/>
        <v>0</v>
      </c>
      <c r="BC16" s="64">
        <f>$J$16*BA16</f>
        <v>0</v>
      </c>
      <c r="BD16" s="567"/>
      <c r="BE16" s="63">
        <f t="shared" si="17"/>
        <v>0</v>
      </c>
      <c r="BF16" s="64">
        <f>$J$16*BD16</f>
        <v>0</v>
      </c>
      <c r="BG16" s="61">
        <f t="shared" si="18"/>
        <v>9.25</v>
      </c>
      <c r="BH16" s="61">
        <f t="shared" si="19"/>
        <v>416.52749999999992</v>
      </c>
      <c r="BI16" s="61">
        <f t="shared" si="20"/>
        <v>269.75234899328859</v>
      </c>
      <c r="BJ16" s="65"/>
      <c r="BK16" s="66"/>
      <c r="BL16" s="38"/>
      <c r="BM16" s="38"/>
      <c r="BN16" s="38"/>
      <c r="BO16" s="38"/>
      <c r="BP16" s="38"/>
      <c r="BQ16" s="38"/>
      <c r="BR16" s="38"/>
      <c r="BS16" s="38"/>
      <c r="BT16" s="38"/>
      <c r="BU16" s="38"/>
      <c r="BV16" s="38"/>
      <c r="BW16" s="38"/>
      <c r="BX16" s="38"/>
      <c r="BY16" s="38"/>
      <c r="BZ16" s="38"/>
      <c r="CA16" s="38"/>
      <c r="CB16" s="38"/>
    </row>
    <row r="17" spans="1:80" ht="12.95" customHeight="1">
      <c r="A17" s="38"/>
      <c r="B17" s="510"/>
      <c r="C17" s="22"/>
      <c r="D17" s="720">
        <f>'Glass Sched'!D11</f>
        <v>0</v>
      </c>
      <c r="E17" s="720"/>
      <c r="F17" s="833">
        <f>'Glass Sched'!C11</f>
        <v>0</v>
      </c>
      <c r="G17" s="834"/>
      <c r="H17" s="835"/>
      <c r="I17" s="62" t="str">
        <f>'Glass Sched'!E11</f>
        <v/>
      </c>
      <c r="J17" s="62" t="str">
        <f>'Glass Sched'!H11</f>
        <v/>
      </c>
      <c r="K17" s="64">
        <f t="shared" si="0"/>
        <v>0</v>
      </c>
      <c r="L17" s="63">
        <f t="shared" si="1"/>
        <v>0</v>
      </c>
      <c r="M17" s="64">
        <f t="shared" si="2"/>
        <v>0</v>
      </c>
      <c r="N17" s="567"/>
      <c r="O17" s="63">
        <f t="shared" si="3"/>
        <v>0</v>
      </c>
      <c r="P17" s="64">
        <f>$J$17*N17</f>
        <v>0</v>
      </c>
      <c r="Q17" s="567"/>
      <c r="R17" s="63">
        <f t="shared" si="4"/>
        <v>0</v>
      </c>
      <c r="S17" s="64">
        <f>$J$17*Q17</f>
        <v>0</v>
      </c>
      <c r="T17" s="567"/>
      <c r="U17" s="63">
        <f t="shared" si="5"/>
        <v>0</v>
      </c>
      <c r="V17" s="64">
        <f>$J$17*T17</f>
        <v>0</v>
      </c>
      <c r="W17" s="567"/>
      <c r="X17" s="63">
        <f t="shared" si="6"/>
        <v>0</v>
      </c>
      <c r="Y17" s="64">
        <f>$J$17*W17</f>
        <v>0</v>
      </c>
      <c r="Z17" s="567"/>
      <c r="AA17" s="63">
        <f t="shared" si="7"/>
        <v>0</v>
      </c>
      <c r="AB17" s="64">
        <f>$J$17*Z17</f>
        <v>0</v>
      </c>
      <c r="AC17" s="567"/>
      <c r="AD17" s="63">
        <f t="shared" si="8"/>
        <v>0</v>
      </c>
      <c r="AE17" s="64">
        <f>$J$17*AC17</f>
        <v>0</v>
      </c>
      <c r="AF17" s="567"/>
      <c r="AG17" s="63">
        <f t="shared" si="9"/>
        <v>0</v>
      </c>
      <c r="AH17" s="64">
        <f>$J$17*AF17</f>
        <v>0</v>
      </c>
      <c r="AI17" s="567"/>
      <c r="AJ17" s="63">
        <f t="shared" si="10"/>
        <v>0</v>
      </c>
      <c r="AK17" s="64">
        <f>$J$17*AI17</f>
        <v>0</v>
      </c>
      <c r="AL17" s="567"/>
      <c r="AM17" s="63">
        <f t="shared" si="11"/>
        <v>0</v>
      </c>
      <c r="AN17" s="64">
        <f>$J$17*AL17</f>
        <v>0</v>
      </c>
      <c r="AO17" s="567"/>
      <c r="AP17" s="63">
        <f t="shared" si="12"/>
        <v>0</v>
      </c>
      <c r="AQ17" s="64">
        <f>$J$17*AO17</f>
        <v>0</v>
      </c>
      <c r="AR17" s="567"/>
      <c r="AS17" s="63">
        <f t="shared" si="13"/>
        <v>0</v>
      </c>
      <c r="AT17" s="64">
        <f>$J$17*AR17</f>
        <v>0</v>
      </c>
      <c r="AU17" s="567"/>
      <c r="AV17" s="63">
        <f t="shared" si="14"/>
        <v>0</v>
      </c>
      <c r="AW17" s="64">
        <f>$J$17*AU17</f>
        <v>0</v>
      </c>
      <c r="AX17" s="567"/>
      <c r="AY17" s="63">
        <f t="shared" si="15"/>
        <v>0</v>
      </c>
      <c r="AZ17" s="64">
        <f>$J$17*AX17</f>
        <v>0</v>
      </c>
      <c r="BA17" s="567"/>
      <c r="BB17" s="63">
        <f t="shared" si="16"/>
        <v>0</v>
      </c>
      <c r="BC17" s="64">
        <f>$J$17*BA17</f>
        <v>0</v>
      </c>
      <c r="BD17" s="567"/>
      <c r="BE17" s="63">
        <f t="shared" si="17"/>
        <v>0</v>
      </c>
      <c r="BF17" s="64">
        <f>$J$17*BD17</f>
        <v>0</v>
      </c>
      <c r="BG17" s="61">
        <f t="shared" si="18"/>
        <v>0</v>
      </c>
      <c r="BH17" s="61">
        <f t="shared" si="19"/>
        <v>0</v>
      </c>
      <c r="BI17" s="61">
        <f t="shared" si="20"/>
        <v>0</v>
      </c>
      <c r="BJ17" s="65"/>
      <c r="BK17" s="66"/>
      <c r="BL17" s="38"/>
      <c r="BM17" s="38"/>
      <c r="BN17" s="38"/>
      <c r="BO17" s="38"/>
      <c r="BP17" s="38"/>
      <c r="BQ17" s="38"/>
      <c r="BR17" s="38"/>
      <c r="BS17" s="38"/>
      <c r="BT17" s="38"/>
      <c r="BU17" s="38"/>
      <c r="BV17" s="38"/>
      <c r="BW17" s="38"/>
      <c r="BX17" s="38"/>
      <c r="BY17" s="38"/>
      <c r="BZ17" s="38"/>
      <c r="CA17" s="38"/>
      <c r="CB17" s="38"/>
    </row>
    <row r="18" spans="1:80" ht="12.95" customHeight="1">
      <c r="A18" s="38"/>
      <c r="B18" s="510"/>
      <c r="C18" s="22"/>
      <c r="D18" s="720">
        <f>'Glass Sched'!D12</f>
        <v>0</v>
      </c>
      <c r="E18" s="720"/>
      <c r="F18" s="833">
        <f>'Glass Sched'!C12</f>
        <v>0</v>
      </c>
      <c r="G18" s="834"/>
      <c r="H18" s="835"/>
      <c r="I18" s="62" t="str">
        <f>'Glass Sched'!E12</f>
        <v/>
      </c>
      <c r="J18" s="62" t="str">
        <f>'Glass Sched'!H12</f>
        <v/>
      </c>
      <c r="K18" s="64">
        <f t="shared" si="0"/>
        <v>0</v>
      </c>
      <c r="L18" s="63">
        <f t="shared" si="1"/>
        <v>0</v>
      </c>
      <c r="M18" s="64">
        <f t="shared" si="2"/>
        <v>0</v>
      </c>
      <c r="N18" s="567"/>
      <c r="O18" s="63">
        <f t="shared" si="3"/>
        <v>0</v>
      </c>
      <c r="P18" s="64">
        <f>$J$18*N18</f>
        <v>0</v>
      </c>
      <c r="Q18" s="567"/>
      <c r="R18" s="63">
        <f t="shared" si="4"/>
        <v>0</v>
      </c>
      <c r="S18" s="64">
        <f>$J$18*Q18</f>
        <v>0</v>
      </c>
      <c r="T18" s="567"/>
      <c r="U18" s="63">
        <f t="shared" si="5"/>
        <v>0</v>
      </c>
      <c r="V18" s="64">
        <f>$J$18*T18</f>
        <v>0</v>
      </c>
      <c r="W18" s="567"/>
      <c r="X18" s="63">
        <f t="shared" si="6"/>
        <v>0</v>
      </c>
      <c r="Y18" s="64">
        <f>$J$18*W18</f>
        <v>0</v>
      </c>
      <c r="Z18" s="567"/>
      <c r="AA18" s="63">
        <f t="shared" si="7"/>
        <v>0</v>
      </c>
      <c r="AB18" s="64">
        <f>$J$18*Z18</f>
        <v>0</v>
      </c>
      <c r="AC18" s="567"/>
      <c r="AD18" s="63">
        <f t="shared" si="8"/>
        <v>0</v>
      </c>
      <c r="AE18" s="64">
        <f>$J$18*AC18</f>
        <v>0</v>
      </c>
      <c r="AF18" s="567"/>
      <c r="AG18" s="63">
        <f t="shared" si="9"/>
        <v>0</v>
      </c>
      <c r="AH18" s="64">
        <f>$J$18*AF18</f>
        <v>0</v>
      </c>
      <c r="AI18" s="567"/>
      <c r="AJ18" s="63">
        <f t="shared" si="10"/>
        <v>0</v>
      </c>
      <c r="AK18" s="64">
        <f>$J$18*AI18</f>
        <v>0</v>
      </c>
      <c r="AL18" s="567"/>
      <c r="AM18" s="63">
        <f t="shared" si="11"/>
        <v>0</v>
      </c>
      <c r="AN18" s="64">
        <f>$J$18*AL18</f>
        <v>0</v>
      </c>
      <c r="AO18" s="567"/>
      <c r="AP18" s="63">
        <f t="shared" si="12"/>
        <v>0</v>
      </c>
      <c r="AQ18" s="64">
        <f>$J$18*AO18</f>
        <v>0</v>
      </c>
      <c r="AR18" s="567"/>
      <c r="AS18" s="63">
        <f t="shared" si="13"/>
        <v>0</v>
      </c>
      <c r="AT18" s="64">
        <f>$J$18*AR18</f>
        <v>0</v>
      </c>
      <c r="AU18" s="567"/>
      <c r="AV18" s="63">
        <f t="shared" si="14"/>
        <v>0</v>
      </c>
      <c r="AW18" s="64">
        <f>$J$18*AU18</f>
        <v>0</v>
      </c>
      <c r="AX18" s="567"/>
      <c r="AY18" s="63">
        <f t="shared" si="15"/>
        <v>0</v>
      </c>
      <c r="AZ18" s="64">
        <f>$J$18*AX18</f>
        <v>0</v>
      </c>
      <c r="BA18" s="567"/>
      <c r="BB18" s="63">
        <f t="shared" si="16"/>
        <v>0</v>
      </c>
      <c r="BC18" s="64">
        <f>$J$18*BA18</f>
        <v>0</v>
      </c>
      <c r="BD18" s="567"/>
      <c r="BE18" s="63">
        <f t="shared" si="17"/>
        <v>0</v>
      </c>
      <c r="BF18" s="64">
        <f>$J$18*BD18</f>
        <v>0</v>
      </c>
      <c r="BG18" s="61">
        <f t="shared" si="18"/>
        <v>0</v>
      </c>
      <c r="BH18" s="61">
        <f t="shared" si="19"/>
        <v>0</v>
      </c>
      <c r="BI18" s="61">
        <f t="shared" si="20"/>
        <v>0</v>
      </c>
      <c r="BJ18" s="65"/>
      <c r="BK18" s="66"/>
      <c r="BL18" s="38"/>
      <c r="BM18" s="38"/>
      <c r="BN18" s="38"/>
      <c r="BO18" s="38"/>
      <c r="BP18" s="38"/>
      <c r="BQ18" s="38"/>
      <c r="BR18" s="38"/>
      <c r="BS18" s="38"/>
      <c r="BT18" s="38"/>
      <c r="BU18" s="38"/>
      <c r="BV18" s="38"/>
      <c r="BW18" s="38"/>
      <c r="BX18" s="38"/>
      <c r="BY18" s="38"/>
      <c r="BZ18" s="38"/>
      <c r="CA18" s="38"/>
      <c r="CB18" s="38"/>
    </row>
    <row r="19" spans="1:80" ht="12.95" customHeight="1">
      <c r="A19" s="38"/>
      <c r="B19" s="510"/>
      <c r="C19" s="22"/>
      <c r="D19" s="720">
        <f>'Glass Sched'!D13</f>
        <v>0</v>
      </c>
      <c r="E19" s="720"/>
      <c r="F19" s="833">
        <f>'Glass Sched'!C13</f>
        <v>0</v>
      </c>
      <c r="G19" s="834"/>
      <c r="H19" s="835"/>
      <c r="I19" s="62" t="str">
        <f>'Glass Sched'!E13</f>
        <v/>
      </c>
      <c r="J19" s="62" t="str">
        <f>'Glass Sched'!H13</f>
        <v/>
      </c>
      <c r="K19" s="64">
        <f t="shared" si="0"/>
        <v>0</v>
      </c>
      <c r="L19" s="63">
        <f t="shared" si="1"/>
        <v>0</v>
      </c>
      <c r="M19" s="64">
        <f t="shared" si="2"/>
        <v>0</v>
      </c>
      <c r="N19" s="567"/>
      <c r="O19" s="63">
        <f t="shared" si="3"/>
        <v>0</v>
      </c>
      <c r="P19" s="64">
        <f>$J$19*N19</f>
        <v>0</v>
      </c>
      <c r="Q19" s="567"/>
      <c r="R19" s="63">
        <f t="shared" si="4"/>
        <v>0</v>
      </c>
      <c r="S19" s="64">
        <f>$J$19*Q19</f>
        <v>0</v>
      </c>
      <c r="T19" s="567"/>
      <c r="U19" s="63">
        <f t="shared" si="5"/>
        <v>0</v>
      </c>
      <c r="V19" s="64">
        <f>$J$19*T19</f>
        <v>0</v>
      </c>
      <c r="W19" s="567"/>
      <c r="X19" s="63">
        <f t="shared" si="6"/>
        <v>0</v>
      </c>
      <c r="Y19" s="64">
        <f>$J$19*W19</f>
        <v>0</v>
      </c>
      <c r="Z19" s="567"/>
      <c r="AA19" s="63">
        <f t="shared" si="7"/>
        <v>0</v>
      </c>
      <c r="AB19" s="64">
        <f>$J$19*Z19</f>
        <v>0</v>
      </c>
      <c r="AC19" s="567"/>
      <c r="AD19" s="63">
        <f t="shared" si="8"/>
        <v>0</v>
      </c>
      <c r="AE19" s="64">
        <f>$J$19*AC19</f>
        <v>0</v>
      </c>
      <c r="AF19" s="567"/>
      <c r="AG19" s="63">
        <f t="shared" si="9"/>
        <v>0</v>
      </c>
      <c r="AH19" s="64">
        <f>$J$19*AF19</f>
        <v>0</v>
      </c>
      <c r="AI19" s="567"/>
      <c r="AJ19" s="63">
        <f t="shared" si="10"/>
        <v>0</v>
      </c>
      <c r="AK19" s="64">
        <f>$J$19*AI19</f>
        <v>0</v>
      </c>
      <c r="AL19" s="567"/>
      <c r="AM19" s="63">
        <f t="shared" si="11"/>
        <v>0</v>
      </c>
      <c r="AN19" s="64">
        <f>$J$19*AL19</f>
        <v>0</v>
      </c>
      <c r="AO19" s="567"/>
      <c r="AP19" s="63">
        <f t="shared" si="12"/>
        <v>0</v>
      </c>
      <c r="AQ19" s="64">
        <f>$J$19*AO19</f>
        <v>0</v>
      </c>
      <c r="AR19" s="567"/>
      <c r="AS19" s="63">
        <f t="shared" si="13"/>
        <v>0</v>
      </c>
      <c r="AT19" s="64">
        <f>$J$19*AR19</f>
        <v>0</v>
      </c>
      <c r="AU19" s="567"/>
      <c r="AV19" s="63">
        <f t="shared" si="14"/>
        <v>0</v>
      </c>
      <c r="AW19" s="64">
        <f>$J$19*AU19</f>
        <v>0</v>
      </c>
      <c r="AX19" s="567"/>
      <c r="AY19" s="63">
        <f t="shared" si="15"/>
        <v>0</v>
      </c>
      <c r="AZ19" s="64">
        <f>$J$19*AX19</f>
        <v>0</v>
      </c>
      <c r="BA19" s="567"/>
      <c r="BB19" s="63">
        <f t="shared" si="16"/>
        <v>0</v>
      </c>
      <c r="BC19" s="64">
        <f>$J$19*BA19</f>
        <v>0</v>
      </c>
      <c r="BD19" s="567"/>
      <c r="BE19" s="63">
        <f t="shared" si="17"/>
        <v>0</v>
      </c>
      <c r="BF19" s="64">
        <f>$J$19*BD19</f>
        <v>0</v>
      </c>
      <c r="BG19" s="61">
        <f t="shared" si="18"/>
        <v>0</v>
      </c>
      <c r="BH19" s="61">
        <f t="shared" si="19"/>
        <v>0</v>
      </c>
      <c r="BI19" s="61">
        <f t="shared" si="20"/>
        <v>0</v>
      </c>
      <c r="BJ19" s="65"/>
      <c r="BK19" s="66"/>
      <c r="BL19" s="38"/>
      <c r="BM19" s="38"/>
      <c r="BN19" s="38"/>
      <c r="BO19" s="38"/>
      <c r="BP19" s="38"/>
      <c r="BQ19" s="38"/>
      <c r="BR19" s="38"/>
      <c r="BS19" s="38"/>
      <c r="BT19" s="38"/>
      <c r="BU19" s="38"/>
      <c r="BV19" s="38"/>
      <c r="BW19" s="38"/>
      <c r="BX19" s="38"/>
      <c r="BY19" s="38"/>
      <c r="BZ19" s="38"/>
      <c r="CA19" s="38"/>
      <c r="CB19" s="38"/>
    </row>
    <row r="20" spans="1:80" ht="12.95" customHeight="1">
      <c r="A20" s="38"/>
      <c r="B20" s="510"/>
      <c r="C20" s="22"/>
      <c r="D20" s="720">
        <f>'Glass Sched'!D14</f>
        <v>0</v>
      </c>
      <c r="E20" s="720"/>
      <c r="F20" s="833">
        <f>'Glass Sched'!C14</f>
        <v>0</v>
      </c>
      <c r="G20" s="834"/>
      <c r="H20" s="835"/>
      <c r="I20" s="62" t="str">
        <f>'Glass Sched'!E14</f>
        <v/>
      </c>
      <c r="J20" s="62" t="str">
        <f>'Glass Sched'!H14</f>
        <v/>
      </c>
      <c r="K20" s="64">
        <f t="shared" si="0"/>
        <v>0</v>
      </c>
      <c r="L20" s="63">
        <f t="shared" si="1"/>
        <v>0</v>
      </c>
      <c r="M20" s="64">
        <f t="shared" si="2"/>
        <v>0</v>
      </c>
      <c r="N20" s="567"/>
      <c r="O20" s="63">
        <f t="shared" si="3"/>
        <v>0</v>
      </c>
      <c r="P20" s="64">
        <f>$J$20*N20</f>
        <v>0</v>
      </c>
      <c r="Q20" s="567"/>
      <c r="R20" s="63">
        <f t="shared" si="4"/>
        <v>0</v>
      </c>
      <c r="S20" s="64">
        <f>$J$20*Q20</f>
        <v>0</v>
      </c>
      <c r="T20" s="567"/>
      <c r="U20" s="63">
        <f t="shared" si="5"/>
        <v>0</v>
      </c>
      <c r="V20" s="64">
        <f>$J$20*T20</f>
        <v>0</v>
      </c>
      <c r="W20" s="567"/>
      <c r="X20" s="63">
        <f t="shared" si="6"/>
        <v>0</v>
      </c>
      <c r="Y20" s="64">
        <f>$J$20*W20</f>
        <v>0</v>
      </c>
      <c r="Z20" s="567"/>
      <c r="AA20" s="63">
        <f t="shared" si="7"/>
        <v>0</v>
      </c>
      <c r="AB20" s="64">
        <f>$J$20*Z20</f>
        <v>0</v>
      </c>
      <c r="AC20" s="567"/>
      <c r="AD20" s="63">
        <f t="shared" si="8"/>
        <v>0</v>
      </c>
      <c r="AE20" s="64">
        <f>$J$20*AC20</f>
        <v>0</v>
      </c>
      <c r="AF20" s="567"/>
      <c r="AG20" s="63">
        <f t="shared" si="9"/>
        <v>0</v>
      </c>
      <c r="AH20" s="64">
        <f>$J$20*AF20</f>
        <v>0</v>
      </c>
      <c r="AI20" s="567"/>
      <c r="AJ20" s="63">
        <f t="shared" si="10"/>
        <v>0</v>
      </c>
      <c r="AK20" s="64">
        <f>$J$20*AI20</f>
        <v>0</v>
      </c>
      <c r="AL20" s="567"/>
      <c r="AM20" s="63">
        <f t="shared" si="11"/>
        <v>0</v>
      </c>
      <c r="AN20" s="64">
        <f>$J$20*AL20</f>
        <v>0</v>
      </c>
      <c r="AO20" s="567"/>
      <c r="AP20" s="63">
        <f t="shared" si="12"/>
        <v>0</v>
      </c>
      <c r="AQ20" s="64">
        <f>$J$20*AO20</f>
        <v>0</v>
      </c>
      <c r="AR20" s="567"/>
      <c r="AS20" s="63">
        <f t="shared" si="13"/>
        <v>0</v>
      </c>
      <c r="AT20" s="64">
        <f>$J$20*AR20</f>
        <v>0</v>
      </c>
      <c r="AU20" s="567"/>
      <c r="AV20" s="63">
        <f t="shared" si="14"/>
        <v>0</v>
      </c>
      <c r="AW20" s="64">
        <f>$J$20*AU20</f>
        <v>0</v>
      </c>
      <c r="AX20" s="567"/>
      <c r="AY20" s="63">
        <f t="shared" si="15"/>
        <v>0</v>
      </c>
      <c r="AZ20" s="64">
        <f>$J$20*AX20</f>
        <v>0</v>
      </c>
      <c r="BA20" s="567"/>
      <c r="BB20" s="63">
        <f t="shared" si="16"/>
        <v>0</v>
      </c>
      <c r="BC20" s="64">
        <f>$J$20*BA20</f>
        <v>0</v>
      </c>
      <c r="BD20" s="567"/>
      <c r="BE20" s="63">
        <f t="shared" si="17"/>
        <v>0</v>
      </c>
      <c r="BF20" s="64">
        <f>$J$20*BD20</f>
        <v>0</v>
      </c>
      <c r="BG20" s="61">
        <f t="shared" si="18"/>
        <v>0</v>
      </c>
      <c r="BH20" s="61">
        <f t="shared" si="19"/>
        <v>0</v>
      </c>
      <c r="BI20" s="61">
        <f t="shared" si="20"/>
        <v>0</v>
      </c>
      <c r="BJ20" s="65"/>
      <c r="BK20" s="66"/>
      <c r="BL20" s="38"/>
      <c r="BM20" s="38"/>
      <c r="BN20" s="38"/>
      <c r="BO20" s="38"/>
      <c r="BP20" s="38"/>
      <c r="BQ20" s="38"/>
      <c r="BR20" s="38"/>
      <c r="BS20" s="38"/>
      <c r="BT20" s="38"/>
      <c r="BU20" s="38"/>
      <c r="BV20" s="38"/>
      <c r="BW20" s="38"/>
      <c r="BX20" s="38"/>
      <c r="BY20" s="38"/>
      <c r="BZ20" s="38"/>
      <c r="CA20" s="38"/>
      <c r="CB20" s="38"/>
    </row>
    <row r="21" spans="1:80" ht="12.95" customHeight="1" thickBot="1">
      <c r="A21" s="38"/>
      <c r="B21" s="511"/>
      <c r="C21" s="23"/>
      <c r="D21" s="849">
        <f>'Glass Sched'!D15</f>
        <v>0</v>
      </c>
      <c r="E21" s="849"/>
      <c r="F21" s="842">
        <f>'Glass Sched'!C15</f>
        <v>0</v>
      </c>
      <c r="G21" s="843"/>
      <c r="H21" s="844"/>
      <c r="I21" s="67" t="str">
        <f>'Glass Sched'!E15</f>
        <v/>
      </c>
      <c r="J21" s="67" t="str">
        <f>'Glass Sched'!H15</f>
        <v/>
      </c>
      <c r="K21" s="69">
        <f t="shared" si="0"/>
        <v>0</v>
      </c>
      <c r="L21" s="68">
        <f t="shared" si="1"/>
        <v>0</v>
      </c>
      <c r="M21" s="69">
        <f t="shared" si="2"/>
        <v>0</v>
      </c>
      <c r="N21" s="567"/>
      <c r="O21" s="68">
        <f t="shared" si="3"/>
        <v>0</v>
      </c>
      <c r="P21" s="69">
        <f>$J$21*N21</f>
        <v>0</v>
      </c>
      <c r="Q21" s="568"/>
      <c r="R21" s="68">
        <f t="shared" si="4"/>
        <v>0</v>
      </c>
      <c r="S21" s="69">
        <f>$J$21*Q21</f>
        <v>0</v>
      </c>
      <c r="T21" s="568"/>
      <c r="U21" s="68">
        <f t="shared" si="5"/>
        <v>0</v>
      </c>
      <c r="V21" s="69">
        <f>$J$21*T21</f>
        <v>0</v>
      </c>
      <c r="W21" s="568"/>
      <c r="X21" s="68">
        <f t="shared" si="6"/>
        <v>0</v>
      </c>
      <c r="Y21" s="69">
        <f>$J$21*W21</f>
        <v>0</v>
      </c>
      <c r="Z21" s="568"/>
      <c r="AA21" s="68">
        <f t="shared" si="7"/>
        <v>0</v>
      </c>
      <c r="AB21" s="69">
        <f>$J$21*Z21</f>
        <v>0</v>
      </c>
      <c r="AC21" s="568"/>
      <c r="AD21" s="68">
        <f t="shared" si="8"/>
        <v>0</v>
      </c>
      <c r="AE21" s="69">
        <f>$J$21*AC21</f>
        <v>0</v>
      </c>
      <c r="AF21" s="568"/>
      <c r="AG21" s="68">
        <f t="shared" si="9"/>
        <v>0</v>
      </c>
      <c r="AH21" s="69">
        <f>$J$21*AF21</f>
        <v>0</v>
      </c>
      <c r="AI21" s="568"/>
      <c r="AJ21" s="68">
        <f t="shared" si="10"/>
        <v>0</v>
      </c>
      <c r="AK21" s="69">
        <f>$J$21*AI21</f>
        <v>0</v>
      </c>
      <c r="AL21" s="568"/>
      <c r="AM21" s="68">
        <f t="shared" si="11"/>
        <v>0</v>
      </c>
      <c r="AN21" s="69">
        <f>$J$21*AL21</f>
        <v>0</v>
      </c>
      <c r="AO21" s="568"/>
      <c r="AP21" s="68">
        <f t="shared" si="12"/>
        <v>0</v>
      </c>
      <c r="AQ21" s="69">
        <f>$J$21*AO21</f>
        <v>0</v>
      </c>
      <c r="AR21" s="568"/>
      <c r="AS21" s="68">
        <f t="shared" si="13"/>
        <v>0</v>
      </c>
      <c r="AT21" s="69">
        <f>$J$21*AR21</f>
        <v>0</v>
      </c>
      <c r="AU21" s="568"/>
      <c r="AV21" s="68">
        <f t="shared" si="14"/>
        <v>0</v>
      </c>
      <c r="AW21" s="69">
        <f>$J$21*AU21</f>
        <v>0</v>
      </c>
      <c r="AX21" s="568"/>
      <c r="AY21" s="68">
        <f t="shared" si="15"/>
        <v>0</v>
      </c>
      <c r="AZ21" s="69">
        <f>$J$21*AX21</f>
        <v>0</v>
      </c>
      <c r="BA21" s="568"/>
      <c r="BB21" s="68">
        <f t="shared" si="16"/>
        <v>0</v>
      </c>
      <c r="BC21" s="69">
        <f>$J$21*BA21</f>
        <v>0</v>
      </c>
      <c r="BD21" s="568"/>
      <c r="BE21" s="68">
        <f t="shared" si="17"/>
        <v>0</v>
      </c>
      <c r="BF21" s="69">
        <f>$J$21*BD21</f>
        <v>0</v>
      </c>
      <c r="BG21" s="61">
        <f t="shared" si="18"/>
        <v>0</v>
      </c>
      <c r="BH21" s="61">
        <f t="shared" si="19"/>
        <v>0</v>
      </c>
      <c r="BI21" s="61">
        <f t="shared" si="20"/>
        <v>0</v>
      </c>
      <c r="BJ21" s="70"/>
      <c r="BK21" s="66"/>
      <c r="BL21" s="38"/>
      <c r="BM21" s="38"/>
      <c r="BN21" s="38"/>
      <c r="BO21" s="38"/>
      <c r="BP21" s="38"/>
      <c r="BQ21" s="38"/>
      <c r="BR21" s="38"/>
      <c r="BS21" s="38"/>
      <c r="BT21" s="38"/>
      <c r="BU21" s="38"/>
      <c r="BV21" s="38"/>
      <c r="BW21" s="38"/>
      <c r="BX21" s="38"/>
      <c r="BY21" s="38"/>
      <c r="BZ21" s="38"/>
      <c r="CA21" s="38"/>
      <c r="CB21" s="38"/>
    </row>
    <row r="22" spans="1:80" ht="12.95" customHeight="1">
      <c r="A22" s="38"/>
      <c r="B22" s="509" t="s">
        <v>1333</v>
      </c>
      <c r="C22" s="164" t="s">
        <v>1189</v>
      </c>
      <c r="D22" s="847" t="str">
        <f>'Glass Sched'!D19</f>
        <v>NE/NW</v>
      </c>
      <c r="E22" s="848"/>
      <c r="F22" s="836" t="str">
        <f>'Glass Sched'!C19</f>
        <v>8BC-6, DOUBLE PANE, CLEAR, 40°, LARGE CURB, INSULATED SHAFT</v>
      </c>
      <c r="G22" s="837"/>
      <c r="H22" s="838"/>
      <c r="I22" s="58">
        <f>'Glass Sched'!E19</f>
        <v>89.27</v>
      </c>
      <c r="J22" s="71">
        <f>'Glass Sched'!F19</f>
        <v>140</v>
      </c>
      <c r="K22" s="60">
        <f t="shared" si="0"/>
        <v>19.8</v>
      </c>
      <c r="L22" s="59">
        <f t="shared" si="1"/>
        <v>1767.546</v>
      </c>
      <c r="M22" s="60">
        <f t="shared" si="2"/>
        <v>2772</v>
      </c>
      <c r="N22" s="566"/>
      <c r="O22" s="59">
        <f>$I$22*N22</f>
        <v>0</v>
      </c>
      <c r="P22" s="60">
        <f>$J$22*N22</f>
        <v>0</v>
      </c>
      <c r="Q22" s="566"/>
      <c r="R22" s="59">
        <f>$I$22*Q22</f>
        <v>0</v>
      </c>
      <c r="S22" s="60">
        <f>$J$22*Q22</f>
        <v>0</v>
      </c>
      <c r="T22" s="566"/>
      <c r="U22" s="59">
        <f>$I$22*T22</f>
        <v>0</v>
      </c>
      <c r="V22" s="60">
        <f>$J$22*T22</f>
        <v>0</v>
      </c>
      <c r="W22" s="566"/>
      <c r="X22" s="59">
        <f>$I$22*W22</f>
        <v>0</v>
      </c>
      <c r="Y22" s="60">
        <f>$J$22*W22</f>
        <v>0</v>
      </c>
      <c r="Z22" s="566"/>
      <c r="AA22" s="59">
        <f>$I$22*Z22</f>
        <v>0</v>
      </c>
      <c r="AB22" s="60">
        <f>$J$22*Z22</f>
        <v>0</v>
      </c>
      <c r="AC22" s="566">
        <f>2*9.9</f>
        <v>19.8</v>
      </c>
      <c r="AD22" s="59">
        <f>$I$22*AC22</f>
        <v>1767.546</v>
      </c>
      <c r="AE22" s="60">
        <f>$J$22*AC22</f>
        <v>2772</v>
      </c>
      <c r="AF22" s="566"/>
      <c r="AG22" s="59">
        <f>$I$22*AF22</f>
        <v>0</v>
      </c>
      <c r="AH22" s="60">
        <f>$J$22*AF22</f>
        <v>0</v>
      </c>
      <c r="AI22" s="566"/>
      <c r="AJ22" s="59">
        <f>$I$22*AI22</f>
        <v>0</v>
      </c>
      <c r="AK22" s="60">
        <f>$J$22*AI22</f>
        <v>0</v>
      </c>
      <c r="AL22" s="566"/>
      <c r="AM22" s="59">
        <f>$I$22*AL22</f>
        <v>0</v>
      </c>
      <c r="AN22" s="60">
        <f>$J$22*AL22</f>
        <v>0</v>
      </c>
      <c r="AO22" s="566"/>
      <c r="AP22" s="59">
        <f>$I$22*AO22</f>
        <v>0</v>
      </c>
      <c r="AQ22" s="60">
        <f>$J$22*AO22</f>
        <v>0</v>
      </c>
      <c r="AR22" s="566"/>
      <c r="AS22" s="59">
        <f>$I$22*AR22</f>
        <v>0</v>
      </c>
      <c r="AT22" s="60">
        <f>$J$22*AR22</f>
        <v>0</v>
      </c>
      <c r="AU22" s="566"/>
      <c r="AV22" s="59">
        <f>$I$22*AU22</f>
        <v>0</v>
      </c>
      <c r="AW22" s="60">
        <f>$J$22*AU22</f>
        <v>0</v>
      </c>
      <c r="AX22" s="566"/>
      <c r="AY22" s="59">
        <f>$I$22*AX22</f>
        <v>0</v>
      </c>
      <c r="AZ22" s="60">
        <f>$J$22*AX22</f>
        <v>0</v>
      </c>
      <c r="BA22" s="566"/>
      <c r="BB22" s="59">
        <f>$I$22*BA22</f>
        <v>0</v>
      </c>
      <c r="BC22" s="60">
        <f>$J$22*BA22</f>
        <v>0</v>
      </c>
      <c r="BD22" s="566"/>
      <c r="BE22" s="59">
        <f>$I$22*BD22</f>
        <v>0</v>
      </c>
      <c r="BF22" s="60">
        <f>$J$22*BD22</f>
        <v>0</v>
      </c>
      <c r="BG22" s="61">
        <f t="shared" si="18"/>
        <v>19.8</v>
      </c>
      <c r="BH22" s="61">
        <f t="shared" si="19"/>
        <v>1767.546</v>
      </c>
      <c r="BI22" s="61">
        <f t="shared" si="20"/>
        <v>2772</v>
      </c>
      <c r="BJ22" s="70"/>
      <c r="BK22" s="66"/>
      <c r="BL22" s="38"/>
      <c r="BM22" s="38"/>
      <c r="BN22" s="38"/>
      <c r="BO22" s="38"/>
      <c r="BP22" s="38"/>
      <c r="BQ22" s="38"/>
      <c r="BR22" s="38"/>
      <c r="BS22" s="38"/>
      <c r="BT22" s="38"/>
      <c r="BU22" s="38"/>
      <c r="BV22" s="38"/>
      <c r="BW22" s="38"/>
      <c r="BX22" s="38"/>
      <c r="BY22" s="38"/>
      <c r="BZ22" s="38"/>
      <c r="CA22" s="38"/>
      <c r="CB22" s="38"/>
    </row>
    <row r="23" spans="1:80" ht="12.95" customHeight="1">
      <c r="A23" s="38"/>
      <c r="B23" s="512"/>
      <c r="C23" s="72"/>
      <c r="D23" s="716">
        <f>'Glass Sched'!D20</f>
        <v>0</v>
      </c>
      <c r="E23" s="717"/>
      <c r="F23" s="833">
        <f>'Glass Sched'!C20</f>
        <v>0</v>
      </c>
      <c r="G23" s="834"/>
      <c r="H23" s="835"/>
      <c r="I23" s="62" t="str">
        <f>'Glass Sched'!E20</f>
        <v/>
      </c>
      <c r="J23" s="73" t="str">
        <f>'Glass Sched'!F20</f>
        <v/>
      </c>
      <c r="K23" s="64">
        <f t="shared" si="0"/>
        <v>0</v>
      </c>
      <c r="L23" s="63">
        <f t="shared" si="1"/>
        <v>0</v>
      </c>
      <c r="M23" s="64">
        <f t="shared" si="2"/>
        <v>0</v>
      </c>
      <c r="N23" s="569"/>
      <c r="O23" s="63">
        <f>$I$23*N23</f>
        <v>0</v>
      </c>
      <c r="P23" s="64">
        <f>$J$23*N23</f>
        <v>0</v>
      </c>
      <c r="Q23" s="569"/>
      <c r="R23" s="63">
        <f>$I$23*Q23</f>
        <v>0</v>
      </c>
      <c r="S23" s="64">
        <f>$J$23*Q23</f>
        <v>0</v>
      </c>
      <c r="T23" s="569"/>
      <c r="U23" s="63">
        <f>$I$23*T23</f>
        <v>0</v>
      </c>
      <c r="V23" s="64">
        <f>$J$23*T23</f>
        <v>0</v>
      </c>
      <c r="W23" s="569"/>
      <c r="X23" s="63">
        <f>$I$23*W23</f>
        <v>0</v>
      </c>
      <c r="Y23" s="64">
        <f>$J$23*W23</f>
        <v>0</v>
      </c>
      <c r="Z23" s="569"/>
      <c r="AA23" s="63">
        <f>$I$23*Z23</f>
        <v>0</v>
      </c>
      <c r="AB23" s="64">
        <f>$J$23*Z23</f>
        <v>0</v>
      </c>
      <c r="AC23" s="569"/>
      <c r="AD23" s="63">
        <f>$I$23*AC23</f>
        <v>0</v>
      </c>
      <c r="AE23" s="64">
        <f>$J$23*AC23</f>
        <v>0</v>
      </c>
      <c r="AF23" s="569"/>
      <c r="AG23" s="63">
        <f>$I$23*AF23</f>
        <v>0</v>
      </c>
      <c r="AH23" s="64">
        <f>$J$23*AF23</f>
        <v>0</v>
      </c>
      <c r="AI23" s="569"/>
      <c r="AJ23" s="63">
        <f>$I$23*AI23</f>
        <v>0</v>
      </c>
      <c r="AK23" s="64">
        <f>$J$23*AI23</f>
        <v>0</v>
      </c>
      <c r="AL23" s="569"/>
      <c r="AM23" s="63">
        <f>$I$23*AL23</f>
        <v>0</v>
      </c>
      <c r="AN23" s="64">
        <f>$J$23*AL23</f>
        <v>0</v>
      </c>
      <c r="AO23" s="569"/>
      <c r="AP23" s="63">
        <f>$I$23*AO23</f>
        <v>0</v>
      </c>
      <c r="AQ23" s="64">
        <f>$J$23*AO23</f>
        <v>0</v>
      </c>
      <c r="AR23" s="569"/>
      <c r="AS23" s="63">
        <f>$I$23*AR23</f>
        <v>0</v>
      </c>
      <c r="AT23" s="64">
        <f>$J$23*AR23</f>
        <v>0</v>
      </c>
      <c r="AU23" s="569"/>
      <c r="AV23" s="63">
        <f>$I$23*AU23</f>
        <v>0</v>
      </c>
      <c r="AW23" s="64">
        <f>$J$23*AU23</f>
        <v>0</v>
      </c>
      <c r="AX23" s="569"/>
      <c r="AY23" s="63">
        <f>$I$23*AX23</f>
        <v>0</v>
      </c>
      <c r="AZ23" s="64">
        <f>$J$23*AX23</f>
        <v>0</v>
      </c>
      <c r="BA23" s="569"/>
      <c r="BB23" s="63">
        <f>$I$23*BA23</f>
        <v>0</v>
      </c>
      <c r="BC23" s="64">
        <f>$J$23*BA23</f>
        <v>0</v>
      </c>
      <c r="BD23" s="569"/>
      <c r="BE23" s="63">
        <f>$I$23*BD23</f>
        <v>0</v>
      </c>
      <c r="BF23" s="64">
        <f>$J$23*BD23</f>
        <v>0</v>
      </c>
      <c r="BG23" s="61">
        <f t="shared" si="18"/>
        <v>0</v>
      </c>
      <c r="BH23" s="61">
        <f t="shared" si="19"/>
        <v>0</v>
      </c>
      <c r="BI23" s="61">
        <f t="shared" si="20"/>
        <v>0</v>
      </c>
      <c r="BJ23" s="70"/>
      <c r="BK23" s="66"/>
      <c r="BL23" s="38"/>
      <c r="BM23" s="38"/>
      <c r="BN23" s="38"/>
      <c r="BO23" s="38"/>
      <c r="BP23" s="38"/>
      <c r="BQ23" s="38"/>
      <c r="BR23" s="38"/>
      <c r="BS23" s="38"/>
      <c r="BT23" s="38"/>
      <c r="BU23" s="38"/>
      <c r="BV23" s="38"/>
      <c r="BW23" s="38"/>
      <c r="BX23" s="38"/>
      <c r="BY23" s="38"/>
      <c r="BZ23" s="38"/>
      <c r="CA23" s="38"/>
      <c r="CB23" s="38"/>
    </row>
    <row r="24" spans="1:80" ht="12.95" customHeight="1">
      <c r="A24" s="38"/>
      <c r="B24" s="512"/>
      <c r="C24" s="72"/>
      <c r="D24" s="716">
        <f>'Glass Sched'!D21</f>
        <v>0</v>
      </c>
      <c r="E24" s="717"/>
      <c r="F24" s="833">
        <f>'Glass Sched'!C21</f>
        <v>0</v>
      </c>
      <c r="G24" s="834"/>
      <c r="H24" s="835"/>
      <c r="I24" s="62" t="str">
        <f>'Glass Sched'!E21</f>
        <v/>
      </c>
      <c r="J24" s="73" t="str">
        <f>'Glass Sched'!F21</f>
        <v/>
      </c>
      <c r="K24" s="64">
        <f t="shared" si="0"/>
        <v>0</v>
      </c>
      <c r="L24" s="63">
        <f t="shared" si="1"/>
        <v>0</v>
      </c>
      <c r="M24" s="64">
        <f t="shared" si="2"/>
        <v>0</v>
      </c>
      <c r="N24" s="570"/>
      <c r="O24" s="63">
        <f>$I$24*N24</f>
        <v>0</v>
      </c>
      <c r="P24" s="64">
        <f>$J$24*N24</f>
        <v>0</v>
      </c>
      <c r="Q24" s="570"/>
      <c r="R24" s="63">
        <f>$I$24*Q24</f>
        <v>0</v>
      </c>
      <c r="S24" s="64">
        <f>$J$24*Q24</f>
        <v>0</v>
      </c>
      <c r="T24" s="570"/>
      <c r="U24" s="63">
        <f>$I$24*T24</f>
        <v>0</v>
      </c>
      <c r="V24" s="64">
        <f>$J$24*T24</f>
        <v>0</v>
      </c>
      <c r="W24" s="570"/>
      <c r="X24" s="63">
        <f>$I$24*W24</f>
        <v>0</v>
      </c>
      <c r="Y24" s="64">
        <f>$J$24*W24</f>
        <v>0</v>
      </c>
      <c r="Z24" s="570"/>
      <c r="AA24" s="63">
        <f>$I$24*Z24</f>
        <v>0</v>
      </c>
      <c r="AB24" s="64">
        <f>$J$24*Z24</f>
        <v>0</v>
      </c>
      <c r="AC24" s="570"/>
      <c r="AD24" s="63">
        <f>$I$24*AC24</f>
        <v>0</v>
      </c>
      <c r="AE24" s="64">
        <f>$J$24*AC24</f>
        <v>0</v>
      </c>
      <c r="AF24" s="570"/>
      <c r="AG24" s="63">
        <f>$I$24*AF24</f>
        <v>0</v>
      </c>
      <c r="AH24" s="64">
        <f>$J$24*AF24</f>
        <v>0</v>
      </c>
      <c r="AI24" s="570"/>
      <c r="AJ24" s="63">
        <f>$I$24*AI24</f>
        <v>0</v>
      </c>
      <c r="AK24" s="64">
        <f>$J$24*AI24</f>
        <v>0</v>
      </c>
      <c r="AL24" s="570"/>
      <c r="AM24" s="63">
        <f>$I$24*AL24</f>
        <v>0</v>
      </c>
      <c r="AN24" s="64">
        <f>$J$24*AL24</f>
        <v>0</v>
      </c>
      <c r="AO24" s="570"/>
      <c r="AP24" s="63">
        <f>$I$24*AO24</f>
        <v>0</v>
      </c>
      <c r="AQ24" s="64">
        <f>$J$24*AO24</f>
        <v>0</v>
      </c>
      <c r="AR24" s="570"/>
      <c r="AS24" s="63">
        <f>$I$24*AR24</f>
        <v>0</v>
      </c>
      <c r="AT24" s="64">
        <f>$J$24*AR24</f>
        <v>0</v>
      </c>
      <c r="AU24" s="570"/>
      <c r="AV24" s="63">
        <f>$I$24*AU24</f>
        <v>0</v>
      </c>
      <c r="AW24" s="64">
        <f>$J$24*AU24</f>
        <v>0</v>
      </c>
      <c r="AX24" s="570"/>
      <c r="AY24" s="63">
        <f>$I$24*AX24</f>
        <v>0</v>
      </c>
      <c r="AZ24" s="64">
        <f>$J$24*AX24</f>
        <v>0</v>
      </c>
      <c r="BA24" s="570"/>
      <c r="BB24" s="63">
        <f>$I$24*BA24</f>
        <v>0</v>
      </c>
      <c r="BC24" s="64">
        <f>$J$24*BA24</f>
        <v>0</v>
      </c>
      <c r="BD24" s="570"/>
      <c r="BE24" s="63">
        <f>$I$24*BD24</f>
        <v>0</v>
      </c>
      <c r="BF24" s="64">
        <f>$J$24*BD24</f>
        <v>0</v>
      </c>
      <c r="BG24" s="61">
        <f t="shared" si="18"/>
        <v>0</v>
      </c>
      <c r="BH24" s="61">
        <f t="shared" si="19"/>
        <v>0</v>
      </c>
      <c r="BI24" s="61">
        <f t="shared" si="20"/>
        <v>0</v>
      </c>
      <c r="BJ24" s="70"/>
      <c r="BK24" s="66"/>
      <c r="BL24" s="38"/>
      <c r="BM24" s="38"/>
      <c r="BN24" s="38"/>
      <c r="BO24" s="38"/>
      <c r="BP24" s="38"/>
      <c r="BQ24" s="38"/>
      <c r="BR24" s="38"/>
      <c r="BS24" s="38"/>
      <c r="BT24" s="38"/>
      <c r="BU24" s="38"/>
      <c r="BV24" s="38"/>
      <c r="BW24" s="38"/>
      <c r="BX24" s="38"/>
      <c r="BY24" s="38"/>
      <c r="BZ24" s="38"/>
      <c r="CA24" s="38"/>
      <c r="CB24" s="38"/>
    </row>
    <row r="25" spans="1:80" ht="12.95" customHeight="1" thickBot="1">
      <c r="A25" s="38"/>
      <c r="B25" s="511"/>
      <c r="C25" s="163"/>
      <c r="D25" s="718">
        <f>'Glass Sched'!D22</f>
        <v>0</v>
      </c>
      <c r="E25" s="719"/>
      <c r="F25" s="842">
        <f>'Glass Sched'!C22</f>
        <v>0</v>
      </c>
      <c r="G25" s="843"/>
      <c r="H25" s="844"/>
      <c r="I25" s="67" t="str">
        <f>'Glass Sched'!E22</f>
        <v/>
      </c>
      <c r="J25" s="74" t="str">
        <f>'Glass Sched'!F22</f>
        <v/>
      </c>
      <c r="K25" s="69">
        <f t="shared" si="0"/>
        <v>0</v>
      </c>
      <c r="L25" s="68">
        <f t="shared" si="1"/>
        <v>0</v>
      </c>
      <c r="M25" s="69">
        <f t="shared" si="2"/>
        <v>0</v>
      </c>
      <c r="N25" s="568"/>
      <c r="O25" s="68">
        <f>$I$25*N25</f>
        <v>0</v>
      </c>
      <c r="P25" s="69">
        <f>$J$25*N25</f>
        <v>0</v>
      </c>
      <c r="Q25" s="568"/>
      <c r="R25" s="68">
        <f>$I$25*Q25</f>
        <v>0</v>
      </c>
      <c r="S25" s="69">
        <f>$J$25*Q25</f>
        <v>0</v>
      </c>
      <c r="T25" s="568"/>
      <c r="U25" s="68">
        <f>$I$25*T25</f>
        <v>0</v>
      </c>
      <c r="V25" s="69">
        <f>$J$25*T25</f>
        <v>0</v>
      </c>
      <c r="W25" s="568"/>
      <c r="X25" s="68">
        <f>$I$25*W25</f>
        <v>0</v>
      </c>
      <c r="Y25" s="69">
        <f>$J$25*W25</f>
        <v>0</v>
      </c>
      <c r="Z25" s="568"/>
      <c r="AA25" s="68">
        <f>$I$25*Z25</f>
        <v>0</v>
      </c>
      <c r="AB25" s="69">
        <f>$J$25*Z25</f>
        <v>0</v>
      </c>
      <c r="AC25" s="568"/>
      <c r="AD25" s="68">
        <f>$I$25*AC25</f>
        <v>0</v>
      </c>
      <c r="AE25" s="69">
        <f>$J$25*AC25</f>
        <v>0</v>
      </c>
      <c r="AF25" s="568"/>
      <c r="AG25" s="68">
        <f>$I$25*AF25</f>
        <v>0</v>
      </c>
      <c r="AH25" s="69">
        <f>$J$25*AF25</f>
        <v>0</v>
      </c>
      <c r="AI25" s="568"/>
      <c r="AJ25" s="68">
        <f>$I$25*AI25</f>
        <v>0</v>
      </c>
      <c r="AK25" s="69">
        <f>$J$25*AI25</f>
        <v>0</v>
      </c>
      <c r="AL25" s="568"/>
      <c r="AM25" s="68">
        <f>$I$25*AL25</f>
        <v>0</v>
      </c>
      <c r="AN25" s="69">
        <f>$J$25*AL25</f>
        <v>0</v>
      </c>
      <c r="AO25" s="568"/>
      <c r="AP25" s="68">
        <f>$I$25*AO25</f>
        <v>0</v>
      </c>
      <c r="AQ25" s="69">
        <f>$J$25*AO25</f>
        <v>0</v>
      </c>
      <c r="AR25" s="568"/>
      <c r="AS25" s="68">
        <f>$I$25*AR25</f>
        <v>0</v>
      </c>
      <c r="AT25" s="69">
        <f>$J$25*AR25</f>
        <v>0</v>
      </c>
      <c r="AU25" s="568"/>
      <c r="AV25" s="68">
        <f>$I$25*AU25</f>
        <v>0</v>
      </c>
      <c r="AW25" s="69">
        <f>$J$25*AU25</f>
        <v>0</v>
      </c>
      <c r="AX25" s="568"/>
      <c r="AY25" s="68">
        <f>$I$25*AX25</f>
        <v>0</v>
      </c>
      <c r="AZ25" s="69">
        <f>$J$25*AX25</f>
        <v>0</v>
      </c>
      <c r="BA25" s="568"/>
      <c r="BB25" s="68">
        <f>$I$25*BA25</f>
        <v>0</v>
      </c>
      <c r="BC25" s="69">
        <f>$J$25*BA25</f>
        <v>0</v>
      </c>
      <c r="BD25" s="568"/>
      <c r="BE25" s="68">
        <f>$I$25*BD25</f>
        <v>0</v>
      </c>
      <c r="BF25" s="69">
        <f>$J$25*BD25</f>
        <v>0</v>
      </c>
      <c r="BG25" s="61">
        <f t="shared" si="18"/>
        <v>0</v>
      </c>
      <c r="BH25" s="61">
        <f t="shared" si="19"/>
        <v>0</v>
      </c>
      <c r="BI25" s="61">
        <f t="shared" si="20"/>
        <v>0</v>
      </c>
      <c r="BJ25" s="70"/>
      <c r="BK25" s="66"/>
      <c r="BL25" s="38"/>
      <c r="BM25" s="38"/>
      <c r="BN25" s="38"/>
      <c r="BO25" s="38"/>
      <c r="BP25" s="38"/>
      <c r="BQ25" s="38"/>
      <c r="BR25" s="38"/>
      <c r="BS25" s="38"/>
      <c r="BT25" s="38"/>
      <c r="BU25" s="38"/>
      <c r="BV25" s="38"/>
      <c r="BW25" s="38"/>
      <c r="BX25" s="38"/>
      <c r="BY25" s="38"/>
      <c r="BZ25" s="38"/>
      <c r="CA25" s="38"/>
      <c r="CB25" s="38"/>
    </row>
    <row r="26" spans="1:80" ht="12.95" customHeight="1">
      <c r="A26" s="38"/>
      <c r="B26" s="512">
        <v>7</v>
      </c>
      <c r="C26" s="845" t="s">
        <v>1229</v>
      </c>
      <c r="D26" s="846"/>
      <c r="E26" s="76" t="s">
        <v>1180</v>
      </c>
      <c r="F26" s="724" t="s">
        <v>2807</v>
      </c>
      <c r="G26" s="725"/>
      <c r="H26" s="726"/>
      <c r="I26" s="77">
        <f t="shared" ref="I26:I33" si="21">IF(F26="","",BJ26*$K$4)</f>
        <v>22.12</v>
      </c>
      <c r="J26" s="77">
        <f t="shared" ref="J26:J33" si="22">IF(F26="","",BJ26*BK26)</f>
        <v>5.8800000000000008</v>
      </c>
      <c r="K26" s="60">
        <f t="shared" si="0"/>
        <v>19.75</v>
      </c>
      <c r="L26" s="78">
        <f t="shared" ref="L26:L47" si="23">I26*$K26</f>
        <v>436.87</v>
      </c>
      <c r="M26" s="79">
        <f t="shared" si="2"/>
        <v>116.13000000000001</v>
      </c>
      <c r="N26" s="569"/>
      <c r="O26" s="59">
        <f>$I$26*N26</f>
        <v>0</v>
      </c>
      <c r="P26" s="60">
        <f>$J$26*N26</f>
        <v>0</v>
      </c>
      <c r="Q26" s="569"/>
      <c r="R26" s="59">
        <f>$I$26*Q26</f>
        <v>0</v>
      </c>
      <c r="S26" s="60">
        <f>$J$26*Q26</f>
        <v>0</v>
      </c>
      <c r="T26" s="569"/>
      <c r="U26" s="59">
        <f>$I$26*T26</f>
        <v>0</v>
      </c>
      <c r="V26" s="60">
        <f>$J$26*T26</f>
        <v>0</v>
      </c>
      <c r="W26" s="569"/>
      <c r="X26" s="59">
        <f>$I$26*W26</f>
        <v>0</v>
      </c>
      <c r="Y26" s="60">
        <f>$J$26*W26</f>
        <v>0</v>
      </c>
      <c r="Z26" s="569"/>
      <c r="AA26" s="59">
        <f>$I$26*Z26</f>
        <v>0</v>
      </c>
      <c r="AB26" s="60">
        <f>$J$26*Z26</f>
        <v>0</v>
      </c>
      <c r="AC26" s="569"/>
      <c r="AD26" s="59">
        <f>$I$26*AC26</f>
        <v>0</v>
      </c>
      <c r="AE26" s="60">
        <f>$J$26*AC26</f>
        <v>0</v>
      </c>
      <c r="AF26" s="569"/>
      <c r="AG26" s="59">
        <f>$I$26*AF26</f>
        <v>0</v>
      </c>
      <c r="AH26" s="60">
        <f>$J$26*AF26</f>
        <v>0</v>
      </c>
      <c r="AI26" s="569">
        <v>19.75</v>
      </c>
      <c r="AJ26" s="59">
        <f>$I$26*AI26</f>
        <v>436.87</v>
      </c>
      <c r="AK26" s="60">
        <f>$J$26*AI26</f>
        <v>116.13000000000001</v>
      </c>
      <c r="AL26" s="569"/>
      <c r="AM26" s="59">
        <f>$I$26*AL26</f>
        <v>0</v>
      </c>
      <c r="AN26" s="60">
        <f>$J$26*AL26</f>
        <v>0</v>
      </c>
      <c r="AO26" s="569"/>
      <c r="AP26" s="59">
        <f>$I$26*AO26</f>
        <v>0</v>
      </c>
      <c r="AQ26" s="60">
        <f>$J$26*AO26</f>
        <v>0</v>
      </c>
      <c r="AR26" s="569"/>
      <c r="AS26" s="59">
        <f>$I$26*AR26</f>
        <v>0</v>
      </c>
      <c r="AT26" s="60">
        <f>$J$26*AR26</f>
        <v>0</v>
      </c>
      <c r="AU26" s="569"/>
      <c r="AV26" s="59">
        <f>$I$26*AU26</f>
        <v>0</v>
      </c>
      <c r="AW26" s="60">
        <f>$J$26*AU26</f>
        <v>0</v>
      </c>
      <c r="AX26" s="569"/>
      <c r="AY26" s="59">
        <f>$I$26*AX26</f>
        <v>0</v>
      </c>
      <c r="AZ26" s="60">
        <f>$J$26*AX26</f>
        <v>0</v>
      </c>
      <c r="BA26" s="569"/>
      <c r="BB26" s="59">
        <f>$I$26*BA26</f>
        <v>0</v>
      </c>
      <c r="BC26" s="60">
        <f>$J$26*BA26</f>
        <v>0</v>
      </c>
      <c r="BD26" s="569"/>
      <c r="BE26" s="59">
        <f>$I$26*BD26</f>
        <v>0</v>
      </c>
      <c r="BF26" s="60">
        <f>$J$26*BD26</f>
        <v>0</v>
      </c>
      <c r="BG26" s="61">
        <f t="shared" si="18"/>
        <v>19.75</v>
      </c>
      <c r="BH26" s="61">
        <f t="shared" si="19"/>
        <v>436.87</v>
      </c>
      <c r="BI26" s="61">
        <f t="shared" si="20"/>
        <v>116.13000000000001</v>
      </c>
      <c r="BJ26" s="80">
        <f>VLOOKUP(F26,Doors!$B$4:$C$10,2)</f>
        <v>0.28000000000000003</v>
      </c>
      <c r="BK26" s="81">
        <f>Calc!$C$4</f>
        <v>21</v>
      </c>
      <c r="BL26" s="38"/>
      <c r="BM26" s="38"/>
      <c r="BN26" s="38"/>
      <c r="BO26" s="38"/>
      <c r="BP26" s="38"/>
      <c r="BQ26" s="38"/>
      <c r="BR26" s="38"/>
      <c r="BS26" s="38"/>
      <c r="BT26" s="38"/>
      <c r="BU26" s="38"/>
      <c r="BV26" s="38"/>
      <c r="BW26" s="38"/>
      <c r="BX26" s="38"/>
      <c r="BY26" s="38"/>
      <c r="BZ26" s="38"/>
      <c r="CA26" s="38"/>
      <c r="CB26" s="38"/>
    </row>
    <row r="27" spans="1:80" ht="12.95" customHeight="1">
      <c r="A27" s="38"/>
      <c r="B27" s="512"/>
      <c r="C27" s="845" t="s">
        <v>1206</v>
      </c>
      <c r="D27" s="846"/>
      <c r="E27" s="82" t="s">
        <v>1181</v>
      </c>
      <c r="F27" s="724"/>
      <c r="G27" s="725"/>
      <c r="H27" s="726"/>
      <c r="I27" s="44" t="str">
        <f t="shared" si="21"/>
        <v/>
      </c>
      <c r="J27" s="44" t="str">
        <f t="shared" si="22"/>
        <v/>
      </c>
      <c r="K27" s="64">
        <f t="shared" si="0"/>
        <v>0</v>
      </c>
      <c r="L27" s="83">
        <f t="shared" si="23"/>
        <v>0</v>
      </c>
      <c r="M27" s="75">
        <f t="shared" si="2"/>
        <v>0</v>
      </c>
      <c r="N27" s="570"/>
      <c r="O27" s="63">
        <f>$I$27*N27</f>
        <v>0</v>
      </c>
      <c r="P27" s="64">
        <f>$J$27*N27</f>
        <v>0</v>
      </c>
      <c r="Q27" s="570"/>
      <c r="R27" s="63">
        <f>$I$27*Q27</f>
        <v>0</v>
      </c>
      <c r="S27" s="64">
        <f>$J$27*Q27</f>
        <v>0</v>
      </c>
      <c r="T27" s="570"/>
      <c r="U27" s="63">
        <f>$I$27*T27</f>
        <v>0</v>
      </c>
      <c r="V27" s="64">
        <f>$J$27*T27</f>
        <v>0</v>
      </c>
      <c r="W27" s="570"/>
      <c r="X27" s="63">
        <f>$I$27*W27</f>
        <v>0</v>
      </c>
      <c r="Y27" s="64">
        <f>$J$27*W27</f>
        <v>0</v>
      </c>
      <c r="Z27" s="570"/>
      <c r="AA27" s="63">
        <f>$I$27*Z27</f>
        <v>0</v>
      </c>
      <c r="AB27" s="64">
        <f>$J$27*Z27</f>
        <v>0</v>
      </c>
      <c r="AC27" s="570"/>
      <c r="AD27" s="63">
        <f>$I$27*AC27</f>
        <v>0</v>
      </c>
      <c r="AE27" s="64">
        <f>$J$27*AC27</f>
        <v>0</v>
      </c>
      <c r="AF27" s="570"/>
      <c r="AG27" s="63">
        <f>$I$27*AF27</f>
        <v>0</v>
      </c>
      <c r="AH27" s="64">
        <f>$J$27*AF27</f>
        <v>0</v>
      </c>
      <c r="AI27" s="570"/>
      <c r="AJ27" s="63">
        <f>$I$27*AI27</f>
        <v>0</v>
      </c>
      <c r="AK27" s="64">
        <f>$J$27*AI27</f>
        <v>0</v>
      </c>
      <c r="AL27" s="570"/>
      <c r="AM27" s="63">
        <f>$I$27*AL27</f>
        <v>0</v>
      </c>
      <c r="AN27" s="64">
        <f>$J$27*AL27</f>
        <v>0</v>
      </c>
      <c r="AO27" s="570"/>
      <c r="AP27" s="63">
        <f>$I$27*AO27</f>
        <v>0</v>
      </c>
      <c r="AQ27" s="64">
        <f>$J$27*AO27</f>
        <v>0</v>
      </c>
      <c r="AR27" s="570"/>
      <c r="AS27" s="63">
        <f>$I$27*AR27</f>
        <v>0</v>
      </c>
      <c r="AT27" s="64">
        <f>$J$27*AR27</f>
        <v>0</v>
      </c>
      <c r="AU27" s="570"/>
      <c r="AV27" s="63">
        <f>$I$27*AU27</f>
        <v>0</v>
      </c>
      <c r="AW27" s="64">
        <f>$J$27*AU27</f>
        <v>0</v>
      </c>
      <c r="AX27" s="570"/>
      <c r="AY27" s="63">
        <f>$I$27*AX27</f>
        <v>0</v>
      </c>
      <c r="AZ27" s="64">
        <f>$J$27*AX27</f>
        <v>0</v>
      </c>
      <c r="BA27" s="570"/>
      <c r="BB27" s="63">
        <f>$I$27*BA27</f>
        <v>0</v>
      </c>
      <c r="BC27" s="64">
        <f>$J$27*BA27</f>
        <v>0</v>
      </c>
      <c r="BD27" s="570"/>
      <c r="BE27" s="63">
        <f>$I$27*BD27</f>
        <v>0</v>
      </c>
      <c r="BF27" s="64">
        <f>$J$27*BD27</f>
        <v>0</v>
      </c>
      <c r="BG27" s="61">
        <f t="shared" si="18"/>
        <v>0</v>
      </c>
      <c r="BH27" s="61">
        <f t="shared" si="19"/>
        <v>0</v>
      </c>
      <c r="BI27" s="61">
        <f t="shared" si="20"/>
        <v>0</v>
      </c>
      <c r="BJ27" s="80">
        <f>VLOOKUP(F27,Doors!$B$4:$C$10,2)</f>
        <v>0</v>
      </c>
      <c r="BK27" s="81">
        <f>Calc!$C$4</f>
        <v>21</v>
      </c>
      <c r="BL27" s="38"/>
      <c r="BM27" s="38"/>
      <c r="BN27" s="38"/>
      <c r="BO27" s="38"/>
      <c r="BP27" s="38"/>
      <c r="BQ27" s="38"/>
      <c r="BR27" s="38"/>
      <c r="BS27" s="38"/>
      <c r="BT27" s="38"/>
      <c r="BU27" s="38"/>
      <c r="BV27" s="38"/>
      <c r="BW27" s="38"/>
      <c r="BX27" s="38"/>
      <c r="BY27" s="38"/>
      <c r="BZ27" s="38"/>
      <c r="CA27" s="38"/>
      <c r="CB27" s="38"/>
    </row>
    <row r="28" spans="1:80" ht="12.95" customHeight="1" thickBot="1">
      <c r="A28" s="38"/>
      <c r="B28" s="513"/>
      <c r="C28" s="855" t="s">
        <v>1207</v>
      </c>
      <c r="D28" s="856"/>
      <c r="E28" s="84" t="s">
        <v>1182</v>
      </c>
      <c r="F28" s="727"/>
      <c r="G28" s="728"/>
      <c r="H28" s="729"/>
      <c r="I28" s="85" t="str">
        <f t="shared" si="21"/>
        <v/>
      </c>
      <c r="J28" s="85" t="str">
        <f t="shared" si="22"/>
        <v/>
      </c>
      <c r="K28" s="69">
        <f t="shared" si="0"/>
        <v>0</v>
      </c>
      <c r="L28" s="86">
        <f t="shared" si="23"/>
        <v>0</v>
      </c>
      <c r="M28" s="69">
        <f t="shared" si="2"/>
        <v>0</v>
      </c>
      <c r="N28" s="568"/>
      <c r="O28" s="68">
        <f>$I$28*N28</f>
        <v>0</v>
      </c>
      <c r="P28" s="69">
        <f>$J$28*N28</f>
        <v>0</v>
      </c>
      <c r="Q28" s="568"/>
      <c r="R28" s="68">
        <f>$I$28*Q28</f>
        <v>0</v>
      </c>
      <c r="S28" s="69">
        <f>$J$28*Q28</f>
        <v>0</v>
      </c>
      <c r="T28" s="568"/>
      <c r="U28" s="68">
        <f>$I$28*T28</f>
        <v>0</v>
      </c>
      <c r="V28" s="69">
        <f>$J$28*T28</f>
        <v>0</v>
      </c>
      <c r="W28" s="568"/>
      <c r="X28" s="68">
        <f>$I$28*W28</f>
        <v>0</v>
      </c>
      <c r="Y28" s="69">
        <f>$J$28*W28</f>
        <v>0</v>
      </c>
      <c r="Z28" s="568"/>
      <c r="AA28" s="68">
        <f>$I$28*Z28</f>
        <v>0</v>
      </c>
      <c r="AB28" s="69">
        <f>$J$28*Z28</f>
        <v>0</v>
      </c>
      <c r="AC28" s="568"/>
      <c r="AD28" s="68">
        <f>$I$28*AC28</f>
        <v>0</v>
      </c>
      <c r="AE28" s="69">
        <f>$J$28*AC28</f>
        <v>0</v>
      </c>
      <c r="AF28" s="568"/>
      <c r="AG28" s="68">
        <f>$I$28*AF28</f>
        <v>0</v>
      </c>
      <c r="AH28" s="69">
        <f>$J$28*AF28</f>
        <v>0</v>
      </c>
      <c r="AI28" s="568"/>
      <c r="AJ28" s="68">
        <f>$I$28*AI28</f>
        <v>0</v>
      </c>
      <c r="AK28" s="69">
        <f>$J$28*AI28</f>
        <v>0</v>
      </c>
      <c r="AL28" s="568"/>
      <c r="AM28" s="68">
        <f>$I$28*AL28</f>
        <v>0</v>
      </c>
      <c r="AN28" s="69">
        <f>$J$28*AL28</f>
        <v>0</v>
      </c>
      <c r="AO28" s="568"/>
      <c r="AP28" s="68">
        <f>$I$28*AO28</f>
        <v>0</v>
      </c>
      <c r="AQ28" s="69">
        <f>$J$28*AO28</f>
        <v>0</v>
      </c>
      <c r="AR28" s="568"/>
      <c r="AS28" s="68">
        <f>$I$28*AR28</f>
        <v>0</v>
      </c>
      <c r="AT28" s="69">
        <f>$J$28*AR28</f>
        <v>0</v>
      </c>
      <c r="AU28" s="568"/>
      <c r="AV28" s="68">
        <f>$I$28*AU28</f>
        <v>0</v>
      </c>
      <c r="AW28" s="69">
        <f>$J$28*AU28</f>
        <v>0</v>
      </c>
      <c r="AX28" s="568"/>
      <c r="AY28" s="68">
        <f>$I$28*AX28</f>
        <v>0</v>
      </c>
      <c r="AZ28" s="69">
        <f>$J$28*AX28</f>
        <v>0</v>
      </c>
      <c r="BA28" s="568"/>
      <c r="BB28" s="68">
        <f>$I$28*BA28</f>
        <v>0</v>
      </c>
      <c r="BC28" s="69">
        <f>$J$28*BA28</f>
        <v>0</v>
      </c>
      <c r="BD28" s="568"/>
      <c r="BE28" s="68">
        <f>$I$28*BD28</f>
        <v>0</v>
      </c>
      <c r="BF28" s="69">
        <f>$J$28*BD28</f>
        <v>0</v>
      </c>
      <c r="BG28" s="61">
        <f t="shared" si="18"/>
        <v>0</v>
      </c>
      <c r="BH28" s="61">
        <f t="shared" si="19"/>
        <v>0</v>
      </c>
      <c r="BI28" s="61">
        <f t="shared" si="20"/>
        <v>0</v>
      </c>
      <c r="BJ28" s="80">
        <f>VLOOKUP(F28,Doors!$B$4:$C$10,2)</f>
        <v>0</v>
      </c>
      <c r="BK28" s="81">
        <f>Calc!$C$4</f>
        <v>21</v>
      </c>
      <c r="BL28" s="38"/>
      <c r="BM28" s="38"/>
      <c r="BN28" s="38"/>
      <c r="BO28" s="38"/>
      <c r="BP28" s="38"/>
      <c r="BQ28" s="38"/>
      <c r="BR28" s="38"/>
      <c r="BS28" s="38"/>
      <c r="BT28" s="38"/>
      <c r="BU28" s="38"/>
      <c r="BV28" s="38"/>
      <c r="BW28" s="38"/>
      <c r="BX28" s="38"/>
      <c r="BY28" s="38"/>
      <c r="BZ28" s="38"/>
      <c r="CA28" s="38"/>
      <c r="CB28" s="38"/>
    </row>
    <row r="29" spans="1:80" ht="12.95" customHeight="1">
      <c r="A29" s="38"/>
      <c r="B29" s="509">
        <v>8</v>
      </c>
      <c r="C29" s="853" t="s">
        <v>2460</v>
      </c>
      <c r="D29" s="854"/>
      <c r="E29" s="87" t="s">
        <v>1180</v>
      </c>
      <c r="F29" s="839" t="s">
        <v>2793</v>
      </c>
      <c r="G29" s="840"/>
      <c r="H29" s="841"/>
      <c r="I29" s="88">
        <f t="shared" si="21"/>
        <v>8.1369999999999987</v>
      </c>
      <c r="J29" s="88">
        <f t="shared" si="22"/>
        <v>0.1648</v>
      </c>
      <c r="K29" s="60">
        <f t="shared" si="0"/>
        <v>927.39999999999986</v>
      </c>
      <c r="L29" s="89">
        <f t="shared" si="23"/>
        <v>7546.2537999999977</v>
      </c>
      <c r="M29" s="90">
        <f t="shared" si="2"/>
        <v>152.83551999999997</v>
      </c>
      <c r="N29" s="566">
        <f>306-N11-N15</f>
        <v>259.81</v>
      </c>
      <c r="O29" s="59">
        <f>$I$29*N29</f>
        <v>2114.0739699999995</v>
      </c>
      <c r="P29" s="60">
        <f>$J$29*N29</f>
        <v>42.816687999999999</v>
      </c>
      <c r="Q29" s="571">
        <f>275.83-Q10-Q13-Q16</f>
        <v>213.35999999999999</v>
      </c>
      <c r="R29" s="59">
        <f>$I$29*Q29</f>
        <v>1736.1103199999995</v>
      </c>
      <c r="S29" s="60">
        <f>$J$29*Q29</f>
        <v>35.161727999999997</v>
      </c>
      <c r="T29" s="571">
        <f>230.83-T14-T13</f>
        <v>204.39000000000001</v>
      </c>
      <c r="U29" s="59">
        <f>$I$29*T29</f>
        <v>1663.1214299999999</v>
      </c>
      <c r="V29" s="60">
        <f>$J$29*T29</f>
        <v>33.683472000000002</v>
      </c>
      <c r="W29" s="571">
        <f>211.17-W14</f>
        <v>198.17</v>
      </c>
      <c r="X29" s="59">
        <f>$I$29*W29</f>
        <v>1612.5092899999997</v>
      </c>
      <c r="Y29" s="60">
        <f>$J$29*W29</f>
        <v>32.658415999999995</v>
      </c>
      <c r="Z29" s="571">
        <f>57.67-Z15</f>
        <v>51.67</v>
      </c>
      <c r="AA29" s="59">
        <f>$I$29*Z29</f>
        <v>420.43878999999993</v>
      </c>
      <c r="AB29" s="60">
        <f>$J$29*Z29</f>
        <v>8.5152160000000006</v>
      </c>
      <c r="AC29" s="571"/>
      <c r="AD29" s="59">
        <f>$I$29*AC29</f>
        <v>0</v>
      </c>
      <c r="AE29" s="60">
        <f>$J$29*AC29</f>
        <v>0</v>
      </c>
      <c r="AF29" s="571"/>
      <c r="AG29" s="59">
        <f>$I$29*AF29</f>
        <v>0</v>
      </c>
      <c r="AH29" s="60">
        <f>$J$29*AF29</f>
        <v>0</v>
      </c>
      <c r="AI29" s="571"/>
      <c r="AJ29" s="59">
        <f>$I$29*AI29</f>
        <v>0</v>
      </c>
      <c r="AK29" s="60">
        <f>$J$29*AI29</f>
        <v>0</v>
      </c>
      <c r="AL29" s="571"/>
      <c r="AM29" s="59">
        <f>$I$29*AL29</f>
        <v>0</v>
      </c>
      <c r="AN29" s="60">
        <f>$J$29*AL29</f>
        <v>0</v>
      </c>
      <c r="AO29" s="571"/>
      <c r="AP29" s="59">
        <f>$I$29*AO29</f>
        <v>0</v>
      </c>
      <c r="AQ29" s="60">
        <f>$J$29*AO29</f>
        <v>0</v>
      </c>
      <c r="AR29" s="571"/>
      <c r="AS29" s="59">
        <f>$I$29*AR29</f>
        <v>0</v>
      </c>
      <c r="AT29" s="60">
        <f>$J$29*AR29</f>
        <v>0</v>
      </c>
      <c r="AU29" s="571"/>
      <c r="AV29" s="59">
        <f>$I$29*AU29</f>
        <v>0</v>
      </c>
      <c r="AW29" s="60">
        <f>$J$29*AU29</f>
        <v>0</v>
      </c>
      <c r="AX29" s="571"/>
      <c r="AY29" s="59">
        <f>$I$29*AX29</f>
        <v>0</v>
      </c>
      <c r="AZ29" s="60">
        <f>$J$29*AX29</f>
        <v>0</v>
      </c>
      <c r="BA29" s="571"/>
      <c r="BB29" s="59">
        <f>$I$29*BA29</f>
        <v>0</v>
      </c>
      <c r="BC29" s="60">
        <f>$J$29*BA29</f>
        <v>0</v>
      </c>
      <c r="BD29" s="571"/>
      <c r="BE29" s="59">
        <f>$I$29*BD29</f>
        <v>0</v>
      </c>
      <c r="BF29" s="60">
        <f>$J$29*BD29</f>
        <v>0</v>
      </c>
      <c r="BG29" s="61">
        <f t="shared" si="18"/>
        <v>927.39999999999986</v>
      </c>
      <c r="BH29" s="61">
        <f t="shared" si="19"/>
        <v>7546.2537999999995</v>
      </c>
      <c r="BI29" s="61">
        <f t="shared" si="20"/>
        <v>152.83552</v>
      </c>
      <c r="BJ29" s="80">
        <f>VLOOKUP(F29,Walls!$B$5:$F$14,2)</f>
        <v>0.10299999999999999</v>
      </c>
      <c r="BK29" s="81">
        <f>IF(BN29="no",BL29,IF(BN29="",BL29,IF(BN29="yes",BM29,BL29)))</f>
        <v>1.6</v>
      </c>
      <c r="BL29" s="81">
        <f>VLOOKUP(F29,Walls!$B$5:$I$14,5)</f>
        <v>8.3000000000000007</v>
      </c>
      <c r="BM29" s="81">
        <f>VLOOKUP(F29,Walls!$B$5:HF$14,8)</f>
        <v>1.6</v>
      </c>
      <c r="BN29" s="81" t="str">
        <f>VLOOKUP(F29,Walls!$B$5:$E$14,4)</f>
        <v>Yes</v>
      </c>
      <c r="BO29" s="38"/>
      <c r="BP29" s="38"/>
      <c r="BQ29" s="38"/>
      <c r="BR29" s="38"/>
      <c r="BS29" s="38"/>
      <c r="BT29" s="38"/>
      <c r="BU29" s="38"/>
      <c r="BV29" s="38"/>
      <c r="BW29" s="38"/>
      <c r="BX29" s="38"/>
      <c r="BY29" s="38"/>
      <c r="BZ29" s="38"/>
      <c r="CA29" s="38"/>
      <c r="CB29" s="38"/>
    </row>
    <row r="30" spans="1:80" ht="12.95" customHeight="1">
      <c r="A30" s="38"/>
      <c r="B30" s="510"/>
      <c r="C30" s="845"/>
      <c r="D30" s="846"/>
      <c r="E30" s="91" t="s">
        <v>1181</v>
      </c>
      <c r="F30" s="724" t="s">
        <v>2794</v>
      </c>
      <c r="G30" s="725"/>
      <c r="H30" s="726"/>
      <c r="I30" s="44">
        <f t="shared" si="21"/>
        <v>5.1349999999999998</v>
      </c>
      <c r="J30" s="44">
        <f t="shared" si="22"/>
        <v>0.1885</v>
      </c>
      <c r="K30" s="64">
        <f t="shared" si="0"/>
        <v>208</v>
      </c>
      <c r="L30" s="83">
        <f t="shared" si="23"/>
        <v>1068.08</v>
      </c>
      <c r="M30" s="75">
        <f t="shared" si="2"/>
        <v>39.207999999999998</v>
      </c>
      <c r="N30" s="567"/>
      <c r="O30" s="63">
        <f>$I$30*N30</f>
        <v>0</v>
      </c>
      <c r="P30" s="64">
        <f>$J$30*N30</f>
        <v>0</v>
      </c>
      <c r="Q30" s="570"/>
      <c r="R30" s="63">
        <f>$I$30*Q30</f>
        <v>0</v>
      </c>
      <c r="S30" s="64">
        <f>$J$30*Q30</f>
        <v>0</v>
      </c>
      <c r="T30" s="570"/>
      <c r="U30" s="63">
        <f>$I$30*T30</f>
        <v>0</v>
      </c>
      <c r="V30" s="64">
        <f>$J$30*T30</f>
        <v>0</v>
      </c>
      <c r="W30" s="570"/>
      <c r="X30" s="63">
        <f>$I$30*W30</f>
        <v>0</v>
      </c>
      <c r="Y30" s="64">
        <f>$J$30*W30</f>
        <v>0</v>
      </c>
      <c r="Z30" s="570"/>
      <c r="AA30" s="63">
        <f>$I$30*Z30</f>
        <v>0</v>
      </c>
      <c r="AB30" s="64">
        <f>$J$30*Z30</f>
        <v>0</v>
      </c>
      <c r="AC30" s="570">
        <v>104</v>
      </c>
      <c r="AD30" s="63">
        <f>$I$30*AC30</f>
        <v>534.04</v>
      </c>
      <c r="AE30" s="64">
        <f>$J$30*AC30</f>
        <v>19.603999999999999</v>
      </c>
      <c r="AF30" s="570">
        <v>104</v>
      </c>
      <c r="AG30" s="63">
        <f>$I$30*AF30</f>
        <v>534.04</v>
      </c>
      <c r="AH30" s="64">
        <f>$J$30*AF30</f>
        <v>19.603999999999999</v>
      </c>
      <c r="AI30" s="570"/>
      <c r="AJ30" s="63">
        <f>$I$30*AI30</f>
        <v>0</v>
      </c>
      <c r="AK30" s="64">
        <f>$J$30*AI30</f>
        <v>0</v>
      </c>
      <c r="AL30" s="570"/>
      <c r="AM30" s="63">
        <f>$I$30*AL30</f>
        <v>0</v>
      </c>
      <c r="AN30" s="64">
        <f>$J$30*AL30</f>
        <v>0</v>
      </c>
      <c r="AO30" s="570"/>
      <c r="AP30" s="63">
        <f>$I$30*AO30</f>
        <v>0</v>
      </c>
      <c r="AQ30" s="64">
        <f>$J$30*AO30</f>
        <v>0</v>
      </c>
      <c r="AR30" s="570"/>
      <c r="AS30" s="63">
        <f>$I$30*AR30</f>
        <v>0</v>
      </c>
      <c r="AT30" s="64">
        <f>$J$30*AR30</f>
        <v>0</v>
      </c>
      <c r="AU30" s="570"/>
      <c r="AV30" s="63">
        <f>$I$30*AU30</f>
        <v>0</v>
      </c>
      <c r="AW30" s="64">
        <f>$J$30*AU30</f>
        <v>0</v>
      </c>
      <c r="AX30" s="570"/>
      <c r="AY30" s="63">
        <f>$I$30*AX30</f>
        <v>0</v>
      </c>
      <c r="AZ30" s="64">
        <f>$J$30*AX30</f>
        <v>0</v>
      </c>
      <c r="BA30" s="570"/>
      <c r="BB30" s="63">
        <f>$I$30*BA30</f>
        <v>0</v>
      </c>
      <c r="BC30" s="64">
        <f>$J$30*BA30</f>
        <v>0</v>
      </c>
      <c r="BD30" s="570"/>
      <c r="BE30" s="63">
        <f>$I$30*BD30</f>
        <v>0</v>
      </c>
      <c r="BF30" s="64">
        <f>$J$30*BD30</f>
        <v>0</v>
      </c>
      <c r="BG30" s="61">
        <f t="shared" si="18"/>
        <v>208</v>
      </c>
      <c r="BH30" s="61">
        <f t="shared" si="19"/>
        <v>1068.08</v>
      </c>
      <c r="BI30" s="61">
        <f t="shared" si="20"/>
        <v>39.207999999999998</v>
      </c>
      <c r="BJ30" s="80">
        <f>VLOOKUP(F30,Walls!$B$5:$F$14,2)</f>
        <v>6.5000000000000002E-2</v>
      </c>
      <c r="BK30" s="81">
        <f>IF(BN30="no",BL30,IF(BN30="",BL30,IF(BN30="yes",BM30,BL30)))</f>
        <v>2.9</v>
      </c>
      <c r="BL30" s="81">
        <f>VLOOKUP(F30,Walls!$B$5:$I$14,5)</f>
        <v>10.3</v>
      </c>
      <c r="BM30" s="81">
        <f>VLOOKUP(F30,Walls!$B$5:HF$14,8)</f>
        <v>2.9</v>
      </c>
      <c r="BN30" s="81" t="str">
        <f>VLOOKUP(F30,Walls!$B$5:$E$14,4)</f>
        <v>Yes</v>
      </c>
      <c r="BO30" s="38"/>
      <c r="BP30" s="38"/>
      <c r="BQ30" s="38"/>
      <c r="BR30" s="38"/>
      <c r="BS30" s="38"/>
      <c r="BT30" s="38"/>
      <c r="BU30" s="38"/>
      <c r="BV30" s="38"/>
      <c r="BW30" s="38"/>
      <c r="BX30" s="38"/>
      <c r="BY30" s="38"/>
      <c r="BZ30" s="38"/>
      <c r="CA30" s="38"/>
      <c r="CB30" s="38"/>
    </row>
    <row r="31" spans="1:80" ht="12.95" customHeight="1">
      <c r="A31" s="38"/>
      <c r="B31" s="510"/>
      <c r="C31" s="845"/>
      <c r="D31" s="846"/>
      <c r="E31" s="91" t="s">
        <v>1182</v>
      </c>
      <c r="F31" s="724" t="s">
        <v>2806</v>
      </c>
      <c r="G31" s="725"/>
      <c r="H31" s="726"/>
      <c r="I31" s="44">
        <f t="shared" si="21"/>
        <v>13.035</v>
      </c>
      <c r="J31" s="44">
        <f t="shared" si="22"/>
        <v>1.2705000000000002</v>
      </c>
      <c r="K31" s="64">
        <f t="shared" si="0"/>
        <v>399</v>
      </c>
      <c r="L31" s="83">
        <f t="shared" si="23"/>
        <v>5200.9650000000001</v>
      </c>
      <c r="M31" s="75">
        <f t="shared" si="2"/>
        <v>506.92950000000008</v>
      </c>
      <c r="N31" s="567"/>
      <c r="O31" s="63">
        <f>$I$31*N31</f>
        <v>0</v>
      </c>
      <c r="P31" s="64">
        <f>$J$31*N31</f>
        <v>0</v>
      </c>
      <c r="Q31" s="570"/>
      <c r="R31" s="63">
        <f>$I$31*Q31</f>
        <v>0</v>
      </c>
      <c r="S31" s="64">
        <f>$J$31*Q31</f>
        <v>0</v>
      </c>
      <c r="T31" s="570"/>
      <c r="U31" s="63">
        <f>$I$31*T31</f>
        <v>0</v>
      </c>
      <c r="V31" s="64">
        <f>$J$31*T31</f>
        <v>0</v>
      </c>
      <c r="W31" s="570"/>
      <c r="X31" s="63">
        <f>$I$31*W31</f>
        <v>0</v>
      </c>
      <c r="Y31" s="64">
        <f>$J$31*W31</f>
        <v>0</v>
      </c>
      <c r="Z31" s="570"/>
      <c r="AA31" s="63">
        <f>$I$31*Z31</f>
        <v>0</v>
      </c>
      <c r="AB31" s="64">
        <f>$J$31*Z31</f>
        <v>0</v>
      </c>
      <c r="AC31" s="570"/>
      <c r="AD31" s="63">
        <f>$I$31*AC31</f>
        <v>0</v>
      </c>
      <c r="AE31" s="64">
        <f>$J$31*AC31</f>
        <v>0</v>
      </c>
      <c r="AF31" s="570"/>
      <c r="AG31" s="63">
        <f>$I$31*AF31</f>
        <v>0</v>
      </c>
      <c r="AH31" s="64">
        <f>$J$31*AF31</f>
        <v>0</v>
      </c>
      <c r="AI31" s="570">
        <v>399</v>
      </c>
      <c r="AJ31" s="63">
        <f>$I$31*AI31</f>
        <v>5200.9650000000001</v>
      </c>
      <c r="AK31" s="64">
        <f>$J$31*AI31</f>
        <v>506.92950000000008</v>
      </c>
      <c r="AL31" s="570"/>
      <c r="AM31" s="63">
        <f>$I$31*AL31</f>
        <v>0</v>
      </c>
      <c r="AN31" s="64">
        <f>$J$31*AL31</f>
        <v>0</v>
      </c>
      <c r="AO31" s="570"/>
      <c r="AP31" s="63">
        <f>$I$31*AO31</f>
        <v>0</v>
      </c>
      <c r="AQ31" s="64">
        <f>$J$31*AO31</f>
        <v>0</v>
      </c>
      <c r="AR31" s="570"/>
      <c r="AS31" s="63">
        <f>$I$31*AR31</f>
        <v>0</v>
      </c>
      <c r="AT31" s="64">
        <f>$J$31*AR31</f>
        <v>0</v>
      </c>
      <c r="AU31" s="570"/>
      <c r="AV31" s="63">
        <f>$I$31*AU31</f>
        <v>0</v>
      </c>
      <c r="AW31" s="64">
        <f>$J$31*AU31</f>
        <v>0</v>
      </c>
      <c r="AX31" s="570"/>
      <c r="AY31" s="63">
        <f>$I$31*AX31</f>
        <v>0</v>
      </c>
      <c r="AZ31" s="64">
        <f>$J$31*AX31</f>
        <v>0</v>
      </c>
      <c r="BA31" s="570"/>
      <c r="BB31" s="63">
        <f>$I$31*BA31</f>
        <v>0</v>
      </c>
      <c r="BC31" s="64">
        <f>$J$31*BA31</f>
        <v>0</v>
      </c>
      <c r="BD31" s="570"/>
      <c r="BE31" s="63">
        <f>$I$31*BD31</f>
        <v>0</v>
      </c>
      <c r="BF31" s="64">
        <f>$J$31*BD31</f>
        <v>0</v>
      </c>
      <c r="BG31" s="61">
        <f t="shared" si="18"/>
        <v>399</v>
      </c>
      <c r="BH31" s="61">
        <f t="shared" si="19"/>
        <v>5200.9650000000001</v>
      </c>
      <c r="BI31" s="61">
        <f t="shared" si="20"/>
        <v>506.92950000000008</v>
      </c>
      <c r="BJ31" s="80">
        <f>VLOOKUP(F31,Walls!$B$5:$F$14,2)</f>
        <v>0.16500000000000001</v>
      </c>
      <c r="BK31" s="81">
        <f>IF(BN31="no",BL31,IF(BN31="",BL31,IF(BN31="yes",BM31,BL31)))</f>
        <v>7.7</v>
      </c>
      <c r="BL31" s="81">
        <f>VLOOKUP(F31,Walls!$B$5:$I$14,5)</f>
        <v>7.7</v>
      </c>
      <c r="BM31" s="81">
        <f>VLOOKUP(F31,Walls!$B$5:HF$14,8)</f>
        <v>1.3</v>
      </c>
      <c r="BN31" s="81" t="str">
        <f>VLOOKUP(F31,Walls!$B$5:$E$14,4)</f>
        <v>No</v>
      </c>
      <c r="BO31" s="38"/>
      <c r="BP31" s="38"/>
      <c r="BQ31" s="38"/>
      <c r="BR31" s="38"/>
      <c r="BS31" s="38"/>
      <c r="BT31" s="38"/>
      <c r="BU31" s="38"/>
      <c r="BV31" s="38"/>
      <c r="BW31" s="38"/>
      <c r="BX31" s="38"/>
      <c r="BY31" s="38"/>
      <c r="BZ31" s="38"/>
      <c r="CA31" s="38"/>
      <c r="CB31" s="38"/>
    </row>
    <row r="32" spans="1:80" ht="12.95" customHeight="1">
      <c r="A32" s="38"/>
      <c r="B32" s="510"/>
      <c r="C32" s="857"/>
      <c r="D32" s="858"/>
      <c r="E32" s="91" t="s">
        <v>1183</v>
      </c>
      <c r="F32" s="724" t="s">
        <v>2804</v>
      </c>
      <c r="G32" s="725"/>
      <c r="H32" s="726"/>
      <c r="I32" s="44">
        <f t="shared" si="21"/>
        <v>5.2930000000000001</v>
      </c>
      <c r="J32" s="44">
        <f t="shared" si="22"/>
        <v>0.37519999999999998</v>
      </c>
      <c r="K32" s="64">
        <f t="shared" si="0"/>
        <v>0</v>
      </c>
      <c r="L32" s="83">
        <f t="shared" si="23"/>
        <v>0</v>
      </c>
      <c r="M32" s="75">
        <f t="shared" si="2"/>
        <v>0</v>
      </c>
      <c r="N32" s="567"/>
      <c r="O32" s="63">
        <f>$I$32*N32</f>
        <v>0</v>
      </c>
      <c r="P32" s="64">
        <f>$J$32*N32</f>
        <v>0</v>
      </c>
      <c r="Q32" s="570"/>
      <c r="R32" s="63">
        <f>$I$32*Q32</f>
        <v>0</v>
      </c>
      <c r="S32" s="64">
        <f>$J$32*Q32</f>
        <v>0</v>
      </c>
      <c r="T32" s="570"/>
      <c r="U32" s="63">
        <f>$I$32*T32</f>
        <v>0</v>
      </c>
      <c r="V32" s="64">
        <f>$J$32*T32</f>
        <v>0</v>
      </c>
      <c r="W32" s="570"/>
      <c r="X32" s="63">
        <f>$I$32*W32</f>
        <v>0</v>
      </c>
      <c r="Y32" s="64">
        <f>$J$32*W32</f>
        <v>0</v>
      </c>
      <c r="Z32" s="570"/>
      <c r="AA32" s="63">
        <f>$I$32*Z32</f>
        <v>0</v>
      </c>
      <c r="AB32" s="64">
        <f>$J$32*Z32</f>
        <v>0</v>
      </c>
      <c r="AC32" s="570"/>
      <c r="AD32" s="63">
        <f>$I$32*AC32</f>
        <v>0</v>
      </c>
      <c r="AE32" s="64">
        <f>$J$32*AC32</f>
        <v>0</v>
      </c>
      <c r="AF32" s="570"/>
      <c r="AG32" s="63">
        <f>$I$32*AF32</f>
        <v>0</v>
      </c>
      <c r="AH32" s="64">
        <f>$J$32*AF32</f>
        <v>0</v>
      </c>
      <c r="AI32" s="570"/>
      <c r="AJ32" s="63">
        <f>$I$32*AI32</f>
        <v>0</v>
      </c>
      <c r="AK32" s="64">
        <f>$J$32*AI32</f>
        <v>0</v>
      </c>
      <c r="AL32" s="570"/>
      <c r="AM32" s="63">
        <f>$I$32*AL32</f>
        <v>0</v>
      </c>
      <c r="AN32" s="64">
        <f>$J$32*AL32</f>
        <v>0</v>
      </c>
      <c r="AO32" s="570"/>
      <c r="AP32" s="63">
        <f>$I$32*AO32</f>
        <v>0</v>
      </c>
      <c r="AQ32" s="64">
        <f>$J$32*AO32</f>
        <v>0</v>
      </c>
      <c r="AR32" s="570"/>
      <c r="AS32" s="63">
        <f>$I$32*AR32</f>
        <v>0</v>
      </c>
      <c r="AT32" s="64">
        <f>$J$32*AR32</f>
        <v>0</v>
      </c>
      <c r="AU32" s="570"/>
      <c r="AV32" s="63">
        <f>$I$32*AU32</f>
        <v>0</v>
      </c>
      <c r="AW32" s="64">
        <f>$J$32*AU32</f>
        <v>0</v>
      </c>
      <c r="AX32" s="570"/>
      <c r="AY32" s="63">
        <f>$I$32*AX32</f>
        <v>0</v>
      </c>
      <c r="AZ32" s="64">
        <f>$J$32*AX32</f>
        <v>0</v>
      </c>
      <c r="BA32" s="570"/>
      <c r="BB32" s="63">
        <f>$I$32*BA32</f>
        <v>0</v>
      </c>
      <c r="BC32" s="64">
        <f>$J$32*BA32</f>
        <v>0</v>
      </c>
      <c r="BD32" s="570"/>
      <c r="BE32" s="63">
        <f>$I$32*BD32</f>
        <v>0</v>
      </c>
      <c r="BF32" s="64">
        <f>$J$32*BD32</f>
        <v>0</v>
      </c>
      <c r="BG32" s="61">
        <f t="shared" si="18"/>
        <v>0</v>
      </c>
      <c r="BH32" s="61">
        <f t="shared" si="19"/>
        <v>0</v>
      </c>
      <c r="BI32" s="61">
        <f t="shared" si="20"/>
        <v>0</v>
      </c>
      <c r="BJ32" s="80">
        <f>VLOOKUP(F32,Walls!$B$5:$F$14,2)</f>
        <v>6.7000000000000004E-2</v>
      </c>
      <c r="BK32" s="81">
        <f>IF(BN32="no",BL32,IF(BN32="",BL32,IF(BN32="yes",BM32,BL32)))</f>
        <v>5.6</v>
      </c>
      <c r="BL32" s="81">
        <f>VLOOKUP(F32,Walls!$B$5:$I$14,5)</f>
        <v>5.6</v>
      </c>
      <c r="BM32" s="81">
        <f>VLOOKUP(F32,Walls!$B$5:HF$14,8)</f>
        <v>0.5</v>
      </c>
      <c r="BN32" s="81" t="str">
        <f>VLOOKUP(F32,Walls!$B$5:$E$14,4)</f>
        <v>No</v>
      </c>
      <c r="BO32" s="38"/>
      <c r="BP32" s="38"/>
      <c r="BQ32" s="38"/>
      <c r="BR32" s="38"/>
      <c r="BS32" s="38"/>
      <c r="BT32" s="38"/>
      <c r="BU32" s="38"/>
      <c r="BV32" s="38"/>
      <c r="BW32" s="38"/>
      <c r="BX32" s="38"/>
      <c r="BY32" s="38"/>
      <c r="BZ32" s="38"/>
      <c r="CA32" s="38"/>
      <c r="CB32" s="38"/>
    </row>
    <row r="33" spans="1:80" ht="12.95" customHeight="1">
      <c r="A33" s="38"/>
      <c r="B33" s="510"/>
      <c r="C33" s="859"/>
      <c r="D33" s="860"/>
      <c r="E33" s="92" t="s">
        <v>1184</v>
      </c>
      <c r="F33" s="724"/>
      <c r="G33" s="725"/>
      <c r="H33" s="726"/>
      <c r="I33" s="93" t="str">
        <f t="shared" si="21"/>
        <v/>
      </c>
      <c r="J33" s="93" t="str">
        <f t="shared" si="22"/>
        <v/>
      </c>
      <c r="K33" s="64">
        <f t="shared" si="0"/>
        <v>0</v>
      </c>
      <c r="L33" s="94">
        <f t="shared" si="23"/>
        <v>0</v>
      </c>
      <c r="M33" s="64">
        <f t="shared" si="2"/>
        <v>0</v>
      </c>
      <c r="N33" s="567"/>
      <c r="O33" s="63">
        <f>$I$33*N33</f>
        <v>0</v>
      </c>
      <c r="P33" s="64">
        <f>$J$33*N33</f>
        <v>0</v>
      </c>
      <c r="Q33" s="567"/>
      <c r="R33" s="63">
        <f>$I$33*Q33</f>
        <v>0</v>
      </c>
      <c r="S33" s="64">
        <f>$J$33*Q33</f>
        <v>0</v>
      </c>
      <c r="T33" s="567"/>
      <c r="U33" s="63">
        <f>$I$33*T33</f>
        <v>0</v>
      </c>
      <c r="V33" s="64">
        <f>$J$33*T33</f>
        <v>0</v>
      </c>
      <c r="W33" s="567"/>
      <c r="X33" s="63">
        <f>$I$33*W33</f>
        <v>0</v>
      </c>
      <c r="Y33" s="64">
        <f>$J$33*W33</f>
        <v>0</v>
      </c>
      <c r="Z33" s="567"/>
      <c r="AA33" s="63">
        <f>$I$33*Z33</f>
        <v>0</v>
      </c>
      <c r="AB33" s="64">
        <f>$J$33*Z33</f>
        <v>0</v>
      </c>
      <c r="AC33" s="567"/>
      <c r="AD33" s="63">
        <f>$I$33*AC33</f>
        <v>0</v>
      </c>
      <c r="AE33" s="64">
        <f>$J$33*AC33</f>
        <v>0</v>
      </c>
      <c r="AF33" s="567"/>
      <c r="AG33" s="63">
        <f>$I$33*AF33</f>
        <v>0</v>
      </c>
      <c r="AH33" s="64">
        <f>$J$33*AF33</f>
        <v>0</v>
      </c>
      <c r="AI33" s="567"/>
      <c r="AJ33" s="63">
        <f>$I$33*AI33</f>
        <v>0</v>
      </c>
      <c r="AK33" s="64">
        <f>$J$33*AI33</f>
        <v>0</v>
      </c>
      <c r="AL33" s="567"/>
      <c r="AM33" s="63">
        <f>$I$33*AL33</f>
        <v>0</v>
      </c>
      <c r="AN33" s="64">
        <f>$J$33*AL33</f>
        <v>0</v>
      </c>
      <c r="AO33" s="567"/>
      <c r="AP33" s="63">
        <f>$I$33*AO33</f>
        <v>0</v>
      </c>
      <c r="AQ33" s="64">
        <f>$J$33*AO33</f>
        <v>0</v>
      </c>
      <c r="AR33" s="567"/>
      <c r="AS33" s="63">
        <f>$I$33*AR33</f>
        <v>0</v>
      </c>
      <c r="AT33" s="64">
        <f>$J$33*AR33</f>
        <v>0</v>
      </c>
      <c r="AU33" s="567"/>
      <c r="AV33" s="63">
        <f>$I$33*AU33</f>
        <v>0</v>
      </c>
      <c r="AW33" s="64">
        <f>$J$33*AU33</f>
        <v>0</v>
      </c>
      <c r="AX33" s="567"/>
      <c r="AY33" s="63">
        <f>$I$33*AX33</f>
        <v>0</v>
      </c>
      <c r="AZ33" s="64">
        <f>$J$33*AX33</f>
        <v>0</v>
      </c>
      <c r="BA33" s="567"/>
      <c r="BB33" s="63">
        <f>$I$33*BA33</f>
        <v>0</v>
      </c>
      <c r="BC33" s="64">
        <f>$J$33*BA33</f>
        <v>0</v>
      </c>
      <c r="BD33" s="567"/>
      <c r="BE33" s="63">
        <f>$I$33*BD33</f>
        <v>0</v>
      </c>
      <c r="BF33" s="64">
        <f>$J$33*BD33</f>
        <v>0</v>
      </c>
      <c r="BG33" s="61">
        <f t="shared" si="18"/>
        <v>0</v>
      </c>
      <c r="BH33" s="61">
        <f t="shared" si="19"/>
        <v>0</v>
      </c>
      <c r="BI33" s="61">
        <f t="shared" si="20"/>
        <v>0</v>
      </c>
      <c r="BJ33" s="80">
        <f>VLOOKUP(F33,Walls!$B$5:$F$14,2)</f>
        <v>0</v>
      </c>
      <c r="BK33" s="81">
        <f>IF(BN33="no",BL33,IF(BN33="",BL33,IF(BN33="yes",BM33,BL33)))</f>
        <v>0</v>
      </c>
      <c r="BL33" s="81">
        <f>VLOOKUP(F33,Walls!$B$5:$I$14,5)</f>
        <v>0</v>
      </c>
      <c r="BM33" s="81">
        <f>VLOOKUP(F33,Walls!$B$5:HF$14,8)</f>
        <v>0</v>
      </c>
      <c r="BN33" s="81" t="str">
        <f>VLOOKUP(F33,Walls!$B$5:$E$14,4)</f>
        <v>No</v>
      </c>
      <c r="BO33" s="38"/>
      <c r="BP33" s="38"/>
      <c r="BQ33" s="38"/>
      <c r="BR33" s="38"/>
      <c r="BS33" s="38"/>
      <c r="BT33" s="38"/>
      <c r="BU33" s="38"/>
      <c r="BV33" s="38"/>
      <c r="BW33" s="38"/>
      <c r="BX33" s="38"/>
      <c r="BY33" s="38"/>
      <c r="BZ33" s="38"/>
      <c r="CA33" s="38"/>
      <c r="CB33" s="38"/>
    </row>
    <row r="34" spans="1:80" ht="12.95" customHeight="1">
      <c r="A34" s="38"/>
      <c r="B34" s="510"/>
      <c r="C34" s="845" t="s">
        <v>2461</v>
      </c>
      <c r="D34" s="846"/>
      <c r="E34" s="95" t="s">
        <v>1186</v>
      </c>
      <c r="F34" s="724"/>
      <c r="G34" s="725"/>
      <c r="H34" s="726"/>
      <c r="I34" s="93" t="str">
        <f>IF(F34="","",BJ34)</f>
        <v/>
      </c>
      <c r="J34" s="62" t="str">
        <f>IF(F34="","",Walls!C18*Walls!E18)</f>
        <v/>
      </c>
      <c r="K34" s="64">
        <f t="shared" si="0"/>
        <v>0</v>
      </c>
      <c r="L34" s="78">
        <f t="shared" si="23"/>
        <v>0</v>
      </c>
      <c r="M34" s="79">
        <f t="shared" si="2"/>
        <v>0</v>
      </c>
      <c r="N34" s="567"/>
      <c r="O34" s="63">
        <f>$I$34*N34</f>
        <v>0</v>
      </c>
      <c r="P34" s="64">
        <f>$J$34*N34</f>
        <v>0</v>
      </c>
      <c r="Q34" s="569"/>
      <c r="R34" s="63">
        <f>$I$34*Q34</f>
        <v>0</v>
      </c>
      <c r="S34" s="64">
        <f>$J$34*Q34</f>
        <v>0</v>
      </c>
      <c r="T34" s="569"/>
      <c r="U34" s="63">
        <f>$I$34*T34</f>
        <v>0</v>
      </c>
      <c r="V34" s="64">
        <f>$J$34*T34</f>
        <v>0</v>
      </c>
      <c r="W34" s="569"/>
      <c r="X34" s="63">
        <f>$I$34*W34</f>
        <v>0</v>
      </c>
      <c r="Y34" s="64">
        <f>$J$34*W34</f>
        <v>0</v>
      </c>
      <c r="Z34" s="569"/>
      <c r="AA34" s="63">
        <f>$I$34*Z34</f>
        <v>0</v>
      </c>
      <c r="AB34" s="64">
        <f>$J$34*Z34</f>
        <v>0</v>
      </c>
      <c r="AC34" s="569"/>
      <c r="AD34" s="63">
        <f>$I$34*AC34</f>
        <v>0</v>
      </c>
      <c r="AE34" s="64">
        <f>$J$34*AC34</f>
        <v>0</v>
      </c>
      <c r="AF34" s="569"/>
      <c r="AG34" s="63">
        <f>$I$34*AF34</f>
        <v>0</v>
      </c>
      <c r="AH34" s="64">
        <f>$J$34*AF34</f>
        <v>0</v>
      </c>
      <c r="AI34" s="569"/>
      <c r="AJ34" s="63">
        <f>$I$34*AI34</f>
        <v>0</v>
      </c>
      <c r="AK34" s="64">
        <f>$J$34*AI34</f>
        <v>0</v>
      </c>
      <c r="AL34" s="569"/>
      <c r="AM34" s="63">
        <f>$I$34*AL34</f>
        <v>0</v>
      </c>
      <c r="AN34" s="64">
        <f>$J$34*AL34</f>
        <v>0</v>
      </c>
      <c r="AO34" s="569"/>
      <c r="AP34" s="63">
        <f>$I$34*AO34</f>
        <v>0</v>
      </c>
      <c r="AQ34" s="64">
        <f>$J$34*AO34</f>
        <v>0</v>
      </c>
      <c r="AR34" s="569"/>
      <c r="AS34" s="63">
        <f>$I$34*AR34</f>
        <v>0</v>
      </c>
      <c r="AT34" s="64">
        <f>$J$34*AR34</f>
        <v>0</v>
      </c>
      <c r="AU34" s="569"/>
      <c r="AV34" s="63">
        <f>$I$34*AU34</f>
        <v>0</v>
      </c>
      <c r="AW34" s="64">
        <f>$J$34*AU34</f>
        <v>0</v>
      </c>
      <c r="AX34" s="569"/>
      <c r="AY34" s="63">
        <f>$I$34*AX34</f>
        <v>0</v>
      </c>
      <c r="AZ34" s="64">
        <f>$J$34*AX34</f>
        <v>0</v>
      </c>
      <c r="BA34" s="569"/>
      <c r="BB34" s="63">
        <f>$I$34*BA34</f>
        <v>0</v>
      </c>
      <c r="BC34" s="64">
        <f>$J$34*BA34</f>
        <v>0</v>
      </c>
      <c r="BD34" s="569"/>
      <c r="BE34" s="63">
        <f>$I$34*BD34</f>
        <v>0</v>
      </c>
      <c r="BF34" s="64">
        <f>$J$34*BD34</f>
        <v>0</v>
      </c>
      <c r="BG34" s="61">
        <f t="shared" si="18"/>
        <v>0</v>
      </c>
      <c r="BH34" s="61">
        <f t="shared" si="19"/>
        <v>0</v>
      </c>
      <c r="BI34" s="61">
        <f t="shared" si="20"/>
        <v>0</v>
      </c>
      <c r="BJ34" s="80">
        <f>VLOOKUP(F34,Walls!$B$18:$F$22,5)</f>
        <v>0</v>
      </c>
      <c r="BK34" s="80">
        <f>VLOOKUP(F34,Walls!$B$18:$G$22,6)</f>
        <v>0</v>
      </c>
      <c r="BL34" s="38"/>
      <c r="BM34" s="38"/>
      <c r="BN34" s="38"/>
      <c r="BO34" s="38"/>
      <c r="BP34" s="38"/>
      <c r="BQ34" s="38"/>
      <c r="BR34" s="38"/>
      <c r="BS34" s="38"/>
      <c r="BT34" s="38"/>
      <c r="BU34" s="38"/>
      <c r="BV34" s="38"/>
      <c r="BW34" s="38"/>
      <c r="BX34" s="38"/>
      <c r="BY34" s="38"/>
      <c r="BZ34" s="38"/>
      <c r="CA34" s="38"/>
      <c r="CB34" s="38"/>
    </row>
    <row r="35" spans="1:80" ht="12.95" customHeight="1" thickBot="1">
      <c r="A35" s="38"/>
      <c r="B35" s="511"/>
      <c r="C35" s="855"/>
      <c r="D35" s="856"/>
      <c r="E35" s="96" t="s">
        <v>1188</v>
      </c>
      <c r="F35" s="727"/>
      <c r="G35" s="728"/>
      <c r="H35" s="729"/>
      <c r="I35" s="93" t="str">
        <f>IF(F35="","",BJ35)</f>
        <v/>
      </c>
      <c r="J35" s="62" t="str">
        <f>IF(F35="","",Walls!C19*Walls!E19)</f>
        <v/>
      </c>
      <c r="K35" s="69">
        <f t="shared" si="0"/>
        <v>0</v>
      </c>
      <c r="L35" s="86">
        <f t="shared" si="23"/>
        <v>0</v>
      </c>
      <c r="M35" s="69">
        <f t="shared" si="2"/>
        <v>0</v>
      </c>
      <c r="N35" s="568"/>
      <c r="O35" s="68">
        <f>$I$35*N35</f>
        <v>0</v>
      </c>
      <c r="P35" s="69">
        <f>$J$35*N35</f>
        <v>0</v>
      </c>
      <c r="Q35" s="568"/>
      <c r="R35" s="68">
        <f>$I$35*Q35</f>
        <v>0</v>
      </c>
      <c r="S35" s="69">
        <f>$J$35*Q35</f>
        <v>0</v>
      </c>
      <c r="T35" s="568"/>
      <c r="U35" s="68">
        <f>$I$35*T35</f>
        <v>0</v>
      </c>
      <c r="V35" s="69">
        <f>$J$35*T35</f>
        <v>0</v>
      </c>
      <c r="W35" s="568"/>
      <c r="X35" s="68">
        <f>$I$35*W35</f>
        <v>0</v>
      </c>
      <c r="Y35" s="69">
        <f>$J$35*W35</f>
        <v>0</v>
      </c>
      <c r="Z35" s="568"/>
      <c r="AA35" s="68">
        <f>$I$35*Z35</f>
        <v>0</v>
      </c>
      <c r="AB35" s="69">
        <f>$J$35*Z35</f>
        <v>0</v>
      </c>
      <c r="AC35" s="568"/>
      <c r="AD35" s="68">
        <f>$I$35*AC35</f>
        <v>0</v>
      </c>
      <c r="AE35" s="69">
        <f>$J$35*AC35</f>
        <v>0</v>
      </c>
      <c r="AF35" s="568"/>
      <c r="AG35" s="68">
        <f>$I$35*AF35</f>
        <v>0</v>
      </c>
      <c r="AH35" s="69">
        <f>$J$35*AF35</f>
        <v>0</v>
      </c>
      <c r="AI35" s="568"/>
      <c r="AJ35" s="68">
        <f>$I$35*AI35</f>
        <v>0</v>
      </c>
      <c r="AK35" s="69">
        <f>$J$35*AI35</f>
        <v>0</v>
      </c>
      <c r="AL35" s="568"/>
      <c r="AM35" s="68">
        <f>$I$35*AL35</f>
        <v>0</v>
      </c>
      <c r="AN35" s="69">
        <f>$J$35*AL35</f>
        <v>0</v>
      </c>
      <c r="AO35" s="568"/>
      <c r="AP35" s="68">
        <f>$I$35*AO35</f>
        <v>0</v>
      </c>
      <c r="AQ35" s="69">
        <f>$J$35*AO35</f>
        <v>0</v>
      </c>
      <c r="AR35" s="568"/>
      <c r="AS35" s="68">
        <f>$I$35*AR35</f>
        <v>0</v>
      </c>
      <c r="AT35" s="69">
        <f>$J$35*AR35</f>
        <v>0</v>
      </c>
      <c r="AU35" s="568"/>
      <c r="AV35" s="68">
        <f>$I$35*AU35</f>
        <v>0</v>
      </c>
      <c r="AW35" s="69">
        <f>$J$35*AU35</f>
        <v>0</v>
      </c>
      <c r="AX35" s="568"/>
      <c r="AY35" s="68">
        <f>$I$35*AX35</f>
        <v>0</v>
      </c>
      <c r="AZ35" s="69">
        <f>$J$35*AX35</f>
        <v>0</v>
      </c>
      <c r="BA35" s="568"/>
      <c r="BB35" s="68">
        <f>$I$35*BA35</f>
        <v>0</v>
      </c>
      <c r="BC35" s="69">
        <f>$J$35*BA35</f>
        <v>0</v>
      </c>
      <c r="BD35" s="568"/>
      <c r="BE35" s="68">
        <f>$I$35*BD35</f>
        <v>0</v>
      </c>
      <c r="BF35" s="69">
        <f>$J$35*BD35</f>
        <v>0</v>
      </c>
      <c r="BG35" s="61">
        <f t="shared" si="18"/>
        <v>0</v>
      </c>
      <c r="BH35" s="61">
        <f t="shared" si="19"/>
        <v>0</v>
      </c>
      <c r="BI35" s="61">
        <f t="shared" si="20"/>
        <v>0</v>
      </c>
      <c r="BJ35" s="80">
        <f>VLOOKUP(F35,Walls!$B$18:$F$22,5)</f>
        <v>0</v>
      </c>
      <c r="BK35" s="80">
        <f>VLOOKUP(F35,Walls!$B$18:$G$22,6)</f>
        <v>0</v>
      </c>
      <c r="BL35" s="38"/>
      <c r="BM35" s="38"/>
      <c r="BN35" s="38"/>
      <c r="BO35" s="38"/>
      <c r="BP35" s="38"/>
      <c r="BQ35" s="38"/>
      <c r="BR35" s="38"/>
      <c r="BS35" s="38"/>
      <c r="BT35" s="38"/>
      <c r="BU35" s="38"/>
      <c r="BV35" s="38"/>
      <c r="BW35" s="38"/>
      <c r="BX35" s="38"/>
      <c r="BY35" s="38"/>
      <c r="BZ35" s="38"/>
      <c r="CA35" s="38"/>
      <c r="CB35" s="38"/>
    </row>
    <row r="36" spans="1:80" ht="12.95" customHeight="1">
      <c r="A36" s="38"/>
      <c r="B36" s="514">
        <v>9</v>
      </c>
      <c r="C36" s="853" t="s">
        <v>2462</v>
      </c>
      <c r="D36" s="854"/>
      <c r="E36" s="47" t="s">
        <v>1180</v>
      </c>
      <c r="F36" s="839" t="s">
        <v>2801</v>
      </c>
      <c r="G36" s="840"/>
      <c r="H36" s="841"/>
      <c r="I36" s="58">
        <f>IF(F36="","",BJ36*$K$4)</f>
        <v>12.166</v>
      </c>
      <c r="J36" s="805"/>
      <c r="K36" s="60">
        <f t="shared" si="0"/>
        <v>0</v>
      </c>
      <c r="L36" s="89">
        <f t="shared" si="23"/>
        <v>0</v>
      </c>
      <c r="M36" s="740"/>
      <c r="N36" s="571"/>
      <c r="O36" s="59">
        <f>$I$36*N36</f>
        <v>0</v>
      </c>
      <c r="P36" s="740"/>
      <c r="Q36" s="571"/>
      <c r="R36" s="59">
        <f>$I$36*Q36</f>
        <v>0</v>
      </c>
      <c r="S36" s="740"/>
      <c r="T36" s="571"/>
      <c r="U36" s="59">
        <f>$I$36*T36</f>
        <v>0</v>
      </c>
      <c r="V36" s="740"/>
      <c r="W36" s="571"/>
      <c r="X36" s="59">
        <f>$I$36*W36</f>
        <v>0</v>
      </c>
      <c r="Y36" s="740"/>
      <c r="Z36" s="571"/>
      <c r="AA36" s="59">
        <f>$I$36*Z36</f>
        <v>0</v>
      </c>
      <c r="AB36" s="740"/>
      <c r="AC36" s="571"/>
      <c r="AD36" s="59">
        <f>$I$36*AC36</f>
        <v>0</v>
      </c>
      <c r="AE36" s="740"/>
      <c r="AF36" s="571"/>
      <c r="AG36" s="59">
        <f>$I$36*AF36</f>
        <v>0</v>
      </c>
      <c r="AH36" s="740"/>
      <c r="AI36" s="571"/>
      <c r="AJ36" s="59">
        <f>$I$36*AI36</f>
        <v>0</v>
      </c>
      <c r="AK36" s="740"/>
      <c r="AL36" s="571"/>
      <c r="AM36" s="59">
        <f>$I$36*AL36</f>
        <v>0</v>
      </c>
      <c r="AN36" s="740"/>
      <c r="AO36" s="571"/>
      <c r="AP36" s="59">
        <f>$I$36*AO36</f>
        <v>0</v>
      </c>
      <c r="AQ36" s="740"/>
      <c r="AR36" s="571"/>
      <c r="AS36" s="59">
        <f>$I$36*AR36</f>
        <v>0</v>
      </c>
      <c r="AT36" s="740"/>
      <c r="AU36" s="571"/>
      <c r="AV36" s="59">
        <f>$I$36*AU36</f>
        <v>0</v>
      </c>
      <c r="AW36" s="740"/>
      <c r="AX36" s="571"/>
      <c r="AY36" s="59">
        <f>$I$36*AX36</f>
        <v>0</v>
      </c>
      <c r="AZ36" s="740"/>
      <c r="BA36" s="571"/>
      <c r="BB36" s="59">
        <f>$I$36*BA36</f>
        <v>0</v>
      </c>
      <c r="BC36" s="740"/>
      <c r="BD36" s="571"/>
      <c r="BE36" s="59">
        <f>$I$36*BD36</f>
        <v>0</v>
      </c>
      <c r="BF36" s="740"/>
      <c r="BG36" s="61">
        <f t="shared" si="18"/>
        <v>0</v>
      </c>
      <c r="BH36" s="61">
        <f t="shared" si="19"/>
        <v>0</v>
      </c>
      <c r="BI36" s="61">
        <f t="shared" si="20"/>
        <v>0</v>
      </c>
      <c r="BJ36" s="80">
        <f>VLOOKUP(F36,Walls!$B$26:$C$30,2)</f>
        <v>0.154</v>
      </c>
      <c r="BK36" s="81"/>
      <c r="BL36" s="38"/>
      <c r="BM36" s="38"/>
      <c r="BN36" s="38"/>
      <c r="BO36" s="38"/>
      <c r="BP36" s="38"/>
      <c r="BQ36" s="38"/>
      <c r="BR36" s="38"/>
      <c r="BS36" s="38"/>
      <c r="BT36" s="38"/>
      <c r="BU36" s="38"/>
      <c r="BV36" s="38"/>
      <c r="BW36" s="38"/>
      <c r="BX36" s="38"/>
      <c r="BY36" s="38"/>
      <c r="BZ36" s="38"/>
      <c r="CA36" s="38"/>
      <c r="CB36" s="38"/>
    </row>
    <row r="37" spans="1:80" ht="12.95" customHeight="1" thickBot="1">
      <c r="A37" s="38"/>
      <c r="B37" s="512"/>
      <c r="C37" s="845"/>
      <c r="D37" s="846"/>
      <c r="E37" s="97" t="s">
        <v>1181</v>
      </c>
      <c r="F37" s="727" t="s">
        <v>2802</v>
      </c>
      <c r="G37" s="728"/>
      <c r="H37" s="729"/>
      <c r="I37" s="98">
        <f>IF(F37="","",BJ37*$K$4)</f>
        <v>7.9</v>
      </c>
      <c r="J37" s="806"/>
      <c r="K37" s="69">
        <f t="shared" si="0"/>
        <v>658.1875</v>
      </c>
      <c r="L37" s="83">
        <f t="shared" si="23"/>
        <v>5199.6812500000005</v>
      </c>
      <c r="M37" s="741"/>
      <c r="N37" s="570"/>
      <c r="O37" s="68">
        <f>$I$37*N37</f>
        <v>0</v>
      </c>
      <c r="P37" s="741"/>
      <c r="Q37" s="570"/>
      <c r="R37" s="68">
        <f>$I$37*Q37</f>
        <v>0</v>
      </c>
      <c r="S37" s="741"/>
      <c r="T37" s="570"/>
      <c r="U37" s="68">
        <f>$I$37*T37</f>
        <v>0</v>
      </c>
      <c r="V37" s="741"/>
      <c r="W37" s="570"/>
      <c r="X37" s="68">
        <f>$I$37*W37</f>
        <v>0</v>
      </c>
      <c r="Y37" s="741"/>
      <c r="Z37" s="570"/>
      <c r="AA37" s="68">
        <f>$I$37*Z37</f>
        <v>0</v>
      </c>
      <c r="AB37" s="741"/>
      <c r="AC37" s="570"/>
      <c r="AD37" s="68">
        <f>$I$37*AC37</f>
        <v>0</v>
      </c>
      <c r="AE37" s="741"/>
      <c r="AF37" s="570"/>
      <c r="AG37" s="68">
        <f>$I$37*AF37</f>
        <v>0</v>
      </c>
      <c r="AH37" s="741"/>
      <c r="AI37" s="570">
        <f>673-0.75*AI26</f>
        <v>658.1875</v>
      </c>
      <c r="AJ37" s="68">
        <f>$I$37*AI37</f>
        <v>5199.6812500000005</v>
      </c>
      <c r="AK37" s="741"/>
      <c r="AL37" s="570"/>
      <c r="AM37" s="68">
        <f>$I$37*AL37</f>
        <v>0</v>
      </c>
      <c r="AN37" s="741"/>
      <c r="AO37" s="570"/>
      <c r="AP37" s="68">
        <f>$I$37*AO37</f>
        <v>0</v>
      </c>
      <c r="AQ37" s="741"/>
      <c r="AR37" s="570"/>
      <c r="AS37" s="68">
        <f>$I$37*AR37</f>
        <v>0</v>
      </c>
      <c r="AT37" s="741"/>
      <c r="AU37" s="570"/>
      <c r="AV37" s="68">
        <f>$I$37*AU37</f>
        <v>0</v>
      </c>
      <c r="AW37" s="741"/>
      <c r="AX37" s="570"/>
      <c r="AY37" s="68">
        <f>$I$37*AX37</f>
        <v>0</v>
      </c>
      <c r="AZ37" s="741"/>
      <c r="BA37" s="570"/>
      <c r="BB37" s="68">
        <f>$I$37*BA37</f>
        <v>0</v>
      </c>
      <c r="BC37" s="741"/>
      <c r="BD37" s="570"/>
      <c r="BE37" s="68">
        <f>$I$37*BD37</f>
        <v>0</v>
      </c>
      <c r="BF37" s="741"/>
      <c r="BG37" s="61">
        <f t="shared" si="18"/>
        <v>658.1875</v>
      </c>
      <c r="BH37" s="61">
        <f t="shared" si="19"/>
        <v>5199.6812500000005</v>
      </c>
      <c r="BI37" s="61">
        <f t="shared" si="20"/>
        <v>0</v>
      </c>
      <c r="BJ37" s="80">
        <f>VLOOKUP(F37,Walls!$B$26:$C$30,2)</f>
        <v>0.1</v>
      </c>
      <c r="BK37" s="81"/>
      <c r="BL37" s="38"/>
      <c r="BM37" s="38"/>
      <c r="BN37" s="38"/>
      <c r="BO37" s="38"/>
      <c r="BP37" s="38"/>
      <c r="BQ37" s="38"/>
      <c r="BR37" s="38"/>
      <c r="BS37" s="38"/>
      <c r="BT37" s="38"/>
      <c r="BU37" s="38"/>
      <c r="BV37" s="38"/>
      <c r="BW37" s="38"/>
      <c r="BX37" s="38"/>
      <c r="BY37" s="38"/>
      <c r="BZ37" s="38"/>
      <c r="CA37" s="38"/>
      <c r="CB37" s="38"/>
    </row>
    <row r="38" spans="1:80" ht="12.95" customHeight="1">
      <c r="A38" s="38"/>
      <c r="B38" s="509">
        <v>10</v>
      </c>
      <c r="C38" s="853" t="s">
        <v>1190</v>
      </c>
      <c r="D38" s="854"/>
      <c r="E38" s="47" t="s">
        <v>1180</v>
      </c>
      <c r="F38" s="839" t="s">
        <v>2795</v>
      </c>
      <c r="G38" s="840"/>
      <c r="H38" s="841"/>
      <c r="I38" s="58">
        <f>IF(F38="","",BJ38*$K$4)</f>
        <v>2.0539999999999998</v>
      </c>
      <c r="J38" s="88">
        <f>IF(F38="","",BJ38*BK38)</f>
        <v>0</v>
      </c>
      <c r="K38" s="60">
        <f t="shared" si="0"/>
        <v>1573.3600000000001</v>
      </c>
      <c r="L38" s="89">
        <f t="shared" si="23"/>
        <v>3231.6814399999998</v>
      </c>
      <c r="M38" s="90">
        <f t="shared" ref="M38:M44" si="24">J38*K38</f>
        <v>0</v>
      </c>
      <c r="N38" s="566">
        <v>167</v>
      </c>
      <c r="O38" s="59">
        <f>$I$38*N38</f>
        <v>343.01799999999997</v>
      </c>
      <c r="P38" s="60">
        <f>$J$38*N38</f>
        <v>0</v>
      </c>
      <c r="Q38" s="571">
        <v>169.02</v>
      </c>
      <c r="R38" s="59">
        <f>$I$38*Q38</f>
        <v>347.16708</v>
      </c>
      <c r="S38" s="60">
        <f>$J$38*Q38</f>
        <v>0</v>
      </c>
      <c r="T38" s="571">
        <v>126.13</v>
      </c>
      <c r="U38" s="59">
        <f>$I$38*T38</f>
        <v>259.07101999999998</v>
      </c>
      <c r="V38" s="60">
        <f>$J$38*T38</f>
        <v>0</v>
      </c>
      <c r="W38" s="571">
        <v>76.25</v>
      </c>
      <c r="X38" s="59">
        <f>$I$38*W38</f>
        <v>156.61749999999998</v>
      </c>
      <c r="Y38" s="60">
        <f>$J$38*W38</f>
        <v>0</v>
      </c>
      <c r="Z38" s="571">
        <v>54.96</v>
      </c>
      <c r="AA38" s="59">
        <f>$I$38*Z38</f>
        <v>112.88784</v>
      </c>
      <c r="AB38" s="60">
        <f>$J$38*Z38</f>
        <v>0</v>
      </c>
      <c r="AC38" s="571">
        <v>601</v>
      </c>
      <c r="AD38" s="59">
        <f>$I$38*AC38</f>
        <v>1234.454</v>
      </c>
      <c r="AE38" s="60">
        <f>$J$38*AC38</f>
        <v>0</v>
      </c>
      <c r="AF38" s="571">
        <v>379</v>
      </c>
      <c r="AG38" s="59">
        <f>$I$38*AF38</f>
        <v>778.46599999999989</v>
      </c>
      <c r="AH38" s="60">
        <f>$J$38*AF38</f>
        <v>0</v>
      </c>
      <c r="AI38" s="571"/>
      <c r="AJ38" s="59">
        <f>$I$38*AI38</f>
        <v>0</v>
      </c>
      <c r="AK38" s="60">
        <f>$J$38*AI38</f>
        <v>0</v>
      </c>
      <c r="AL38" s="571"/>
      <c r="AM38" s="59">
        <f>$I$38*AL38</f>
        <v>0</v>
      </c>
      <c r="AN38" s="60">
        <f>$J$38*AL38</f>
        <v>0</v>
      </c>
      <c r="AO38" s="571"/>
      <c r="AP38" s="59">
        <f>$I$38*AO38</f>
        <v>0</v>
      </c>
      <c r="AQ38" s="60">
        <f>$J$38*AO38</f>
        <v>0</v>
      </c>
      <c r="AR38" s="571"/>
      <c r="AS38" s="59">
        <f>$I$38*AR38</f>
        <v>0</v>
      </c>
      <c r="AT38" s="60">
        <f>$J$38*AR38</f>
        <v>0</v>
      </c>
      <c r="AU38" s="571"/>
      <c r="AV38" s="59">
        <f>$I$38*AU38</f>
        <v>0</v>
      </c>
      <c r="AW38" s="60">
        <f>$J$38*AU38</f>
        <v>0</v>
      </c>
      <c r="AX38" s="571"/>
      <c r="AY38" s="59">
        <f>$I$38*AX38</f>
        <v>0</v>
      </c>
      <c r="AZ38" s="60">
        <f>$J$38*AX38</f>
        <v>0</v>
      </c>
      <c r="BA38" s="571"/>
      <c r="BB38" s="59">
        <f>$I$38*BA38</f>
        <v>0</v>
      </c>
      <c r="BC38" s="60">
        <f>$J$38*BA38</f>
        <v>0</v>
      </c>
      <c r="BD38" s="571"/>
      <c r="BE38" s="59">
        <f>$I$38*BD38</f>
        <v>0</v>
      </c>
      <c r="BF38" s="60">
        <f>$J$38*BD38</f>
        <v>0</v>
      </c>
      <c r="BG38" s="61">
        <f t="shared" si="18"/>
        <v>1573.3600000000001</v>
      </c>
      <c r="BH38" s="61">
        <f t="shared" si="19"/>
        <v>3231.6814399999998</v>
      </c>
      <c r="BI38" s="61">
        <f t="shared" si="20"/>
        <v>0</v>
      </c>
      <c r="BJ38" s="80">
        <f>VLOOKUP(F38,Ceilings!$B$5:$D$15,2)</f>
        <v>2.5999999999999999E-2</v>
      </c>
      <c r="BK38" s="81">
        <f>VLOOKUP(F38,Ceilings!$B$5:$D$15,3)</f>
        <v>0</v>
      </c>
      <c r="BL38" s="38"/>
      <c r="BM38" s="38"/>
      <c r="BN38" s="38"/>
      <c r="BO38" s="38"/>
      <c r="BP38" s="38"/>
      <c r="BQ38" s="38"/>
      <c r="BR38" s="38"/>
      <c r="BS38" s="38"/>
      <c r="BT38" s="38"/>
      <c r="BU38" s="38"/>
      <c r="BV38" s="38"/>
      <c r="BW38" s="38"/>
      <c r="BX38" s="38"/>
      <c r="BY38" s="38"/>
      <c r="BZ38" s="38"/>
      <c r="CA38" s="38"/>
      <c r="CB38" s="38"/>
    </row>
    <row r="39" spans="1:80" ht="12.95" customHeight="1">
      <c r="A39" s="38"/>
      <c r="B39" s="510"/>
      <c r="C39" s="857"/>
      <c r="D39" s="858"/>
      <c r="E39" s="97" t="s">
        <v>1181</v>
      </c>
      <c r="F39" s="724"/>
      <c r="G39" s="725"/>
      <c r="H39" s="726"/>
      <c r="I39" s="62" t="str">
        <f>IF(F39="","",BJ39*$K$4)</f>
        <v/>
      </c>
      <c r="J39" s="44" t="str">
        <f>IF(F39="","",BJ39*BK39)</f>
        <v/>
      </c>
      <c r="K39" s="64">
        <f t="shared" si="0"/>
        <v>0</v>
      </c>
      <c r="L39" s="83">
        <f t="shared" si="23"/>
        <v>0</v>
      </c>
      <c r="M39" s="75">
        <f t="shared" si="24"/>
        <v>0</v>
      </c>
      <c r="N39" s="567"/>
      <c r="O39" s="63">
        <f>$I$39*N39</f>
        <v>0</v>
      </c>
      <c r="P39" s="64">
        <f>$J$39*N39</f>
        <v>0</v>
      </c>
      <c r="Q39" s="570"/>
      <c r="R39" s="63">
        <f>$I$39*Q39</f>
        <v>0</v>
      </c>
      <c r="S39" s="64">
        <f>$J$39*Q39</f>
        <v>0</v>
      </c>
      <c r="T39" s="570"/>
      <c r="U39" s="63">
        <f>$I$39*T39</f>
        <v>0</v>
      </c>
      <c r="V39" s="64">
        <f>$J$39*T39</f>
        <v>0</v>
      </c>
      <c r="W39" s="570"/>
      <c r="X39" s="63">
        <f>$I$39*W39</f>
        <v>0</v>
      </c>
      <c r="Y39" s="64">
        <f>$J$39*W39</f>
        <v>0</v>
      </c>
      <c r="Z39" s="570"/>
      <c r="AA39" s="63">
        <f>$I$39*Z39</f>
        <v>0</v>
      </c>
      <c r="AB39" s="64">
        <f>$J$39*Z39</f>
        <v>0</v>
      </c>
      <c r="AC39" s="570"/>
      <c r="AD39" s="63">
        <f>$I$39*AC39</f>
        <v>0</v>
      </c>
      <c r="AE39" s="64">
        <f>$J$39*AC39</f>
        <v>0</v>
      </c>
      <c r="AF39" s="570"/>
      <c r="AG39" s="63">
        <f>$I$39*AF39</f>
        <v>0</v>
      </c>
      <c r="AH39" s="64">
        <f>$J$39*AF39</f>
        <v>0</v>
      </c>
      <c r="AI39" s="570"/>
      <c r="AJ39" s="63">
        <f>$I$39*AI39</f>
        <v>0</v>
      </c>
      <c r="AK39" s="64">
        <f>$J$39*AI39</f>
        <v>0</v>
      </c>
      <c r="AL39" s="570"/>
      <c r="AM39" s="63">
        <f>$I$39*AL39</f>
        <v>0</v>
      </c>
      <c r="AN39" s="64">
        <f>$J$39*AL39</f>
        <v>0</v>
      </c>
      <c r="AO39" s="570"/>
      <c r="AP39" s="63">
        <f>$I$39*AO39</f>
        <v>0</v>
      </c>
      <c r="AQ39" s="64">
        <f>$J$39*AO39</f>
        <v>0</v>
      </c>
      <c r="AR39" s="570"/>
      <c r="AS39" s="63">
        <f>$I$39*AR39</f>
        <v>0</v>
      </c>
      <c r="AT39" s="64">
        <f>$J$39*AR39</f>
        <v>0</v>
      </c>
      <c r="AU39" s="570"/>
      <c r="AV39" s="63">
        <f>$I$39*AU39</f>
        <v>0</v>
      </c>
      <c r="AW39" s="64">
        <f>$J$39*AU39</f>
        <v>0</v>
      </c>
      <c r="AX39" s="570"/>
      <c r="AY39" s="63">
        <f>$I$39*AX39</f>
        <v>0</v>
      </c>
      <c r="AZ39" s="64">
        <f>$J$39*AX39</f>
        <v>0</v>
      </c>
      <c r="BA39" s="570"/>
      <c r="BB39" s="63">
        <f>$I$39*BA39</f>
        <v>0</v>
      </c>
      <c r="BC39" s="64">
        <f>$J$39*BA39</f>
        <v>0</v>
      </c>
      <c r="BD39" s="570"/>
      <c r="BE39" s="63">
        <f>$I$39*BD39</f>
        <v>0</v>
      </c>
      <c r="BF39" s="64">
        <f>$J$39*BD39</f>
        <v>0</v>
      </c>
      <c r="BG39" s="61">
        <f t="shared" si="18"/>
        <v>0</v>
      </c>
      <c r="BH39" s="61">
        <f t="shared" si="19"/>
        <v>0</v>
      </c>
      <c r="BI39" s="61">
        <f t="shared" si="20"/>
        <v>0</v>
      </c>
      <c r="BJ39" s="80">
        <f>VLOOKUP(F39,Ceilings!$B$5:$D$15,2)</f>
        <v>0</v>
      </c>
      <c r="BK39" s="81">
        <f>VLOOKUP(F39,Ceilings!$B$5:$D$15,3)</f>
        <v>0</v>
      </c>
      <c r="BL39" s="38"/>
      <c r="BM39" s="38"/>
      <c r="BN39" s="38"/>
      <c r="BO39" s="38"/>
      <c r="BP39" s="38"/>
      <c r="BQ39" s="38"/>
      <c r="BR39" s="38"/>
      <c r="BS39" s="38"/>
      <c r="BT39" s="38"/>
      <c r="BU39" s="38"/>
      <c r="BV39" s="38"/>
      <c r="BW39" s="38"/>
      <c r="BX39" s="38"/>
      <c r="BY39" s="38"/>
      <c r="BZ39" s="38"/>
      <c r="CA39" s="38"/>
      <c r="CB39" s="38"/>
    </row>
    <row r="40" spans="1:80" ht="12.95" customHeight="1">
      <c r="A40" s="38"/>
      <c r="B40" s="510"/>
      <c r="C40" s="859"/>
      <c r="D40" s="860"/>
      <c r="E40" s="99" t="s">
        <v>1182</v>
      </c>
      <c r="F40" s="724"/>
      <c r="G40" s="725"/>
      <c r="H40" s="726"/>
      <c r="I40" s="62" t="str">
        <f>IF(F40="","",BJ40*$K$4)</f>
        <v/>
      </c>
      <c r="J40" s="93" t="str">
        <f>IF(F40="","",BJ40*BK40)</f>
        <v/>
      </c>
      <c r="K40" s="64">
        <f t="shared" si="0"/>
        <v>0</v>
      </c>
      <c r="L40" s="94">
        <f t="shared" si="23"/>
        <v>0</v>
      </c>
      <c r="M40" s="64">
        <f t="shared" si="24"/>
        <v>0</v>
      </c>
      <c r="N40" s="567"/>
      <c r="O40" s="63">
        <f>$I$40*N40</f>
        <v>0</v>
      </c>
      <c r="P40" s="64">
        <f>$J$40*N40</f>
        <v>0</v>
      </c>
      <c r="Q40" s="567"/>
      <c r="R40" s="63">
        <f>$I$40*Q40</f>
        <v>0</v>
      </c>
      <c r="S40" s="64">
        <f>$J$40*Q40</f>
        <v>0</v>
      </c>
      <c r="T40" s="567"/>
      <c r="U40" s="63">
        <f>$I$40*T40</f>
        <v>0</v>
      </c>
      <c r="V40" s="64">
        <f>$J$40*T40</f>
        <v>0</v>
      </c>
      <c r="W40" s="567"/>
      <c r="X40" s="63">
        <f>$I$40*W40</f>
        <v>0</v>
      </c>
      <c r="Y40" s="64">
        <f>$J$40*W40</f>
        <v>0</v>
      </c>
      <c r="Z40" s="567"/>
      <c r="AA40" s="63">
        <f>$I$40*Z40</f>
        <v>0</v>
      </c>
      <c r="AB40" s="64">
        <f>$J$40*Z40</f>
        <v>0</v>
      </c>
      <c r="AC40" s="567"/>
      <c r="AD40" s="63">
        <f>$I$40*AC40</f>
        <v>0</v>
      </c>
      <c r="AE40" s="64">
        <f>$J$40*AC40</f>
        <v>0</v>
      </c>
      <c r="AF40" s="567"/>
      <c r="AG40" s="63">
        <f>$I$40*AF40</f>
        <v>0</v>
      </c>
      <c r="AH40" s="64">
        <f>$J$40*AF40</f>
        <v>0</v>
      </c>
      <c r="AI40" s="567"/>
      <c r="AJ40" s="63">
        <f>$I$40*AI40</f>
        <v>0</v>
      </c>
      <c r="AK40" s="64">
        <f>$J$40*AI40</f>
        <v>0</v>
      </c>
      <c r="AL40" s="567"/>
      <c r="AM40" s="63">
        <f>$I$40*AL40</f>
        <v>0</v>
      </c>
      <c r="AN40" s="64">
        <f>$J$40*AL40</f>
        <v>0</v>
      </c>
      <c r="AO40" s="567"/>
      <c r="AP40" s="63">
        <f>$I$40*AO40</f>
        <v>0</v>
      </c>
      <c r="AQ40" s="64">
        <f>$J$40*AO40</f>
        <v>0</v>
      </c>
      <c r="AR40" s="567"/>
      <c r="AS40" s="63">
        <f>$I$40*AR40</f>
        <v>0</v>
      </c>
      <c r="AT40" s="64">
        <f>$J$40*AR40</f>
        <v>0</v>
      </c>
      <c r="AU40" s="567"/>
      <c r="AV40" s="63">
        <f>$I$40*AU40</f>
        <v>0</v>
      </c>
      <c r="AW40" s="64">
        <f>$J$40*AU40</f>
        <v>0</v>
      </c>
      <c r="AX40" s="567"/>
      <c r="AY40" s="63">
        <f>$I$40*AX40</f>
        <v>0</v>
      </c>
      <c r="AZ40" s="64">
        <f>$J$40*AX40</f>
        <v>0</v>
      </c>
      <c r="BA40" s="567"/>
      <c r="BB40" s="63">
        <f>$I$40*BA40</f>
        <v>0</v>
      </c>
      <c r="BC40" s="64">
        <f>$J$40*BA40</f>
        <v>0</v>
      </c>
      <c r="BD40" s="567"/>
      <c r="BE40" s="63">
        <f>$I$40*BD40</f>
        <v>0</v>
      </c>
      <c r="BF40" s="64">
        <f>$J$40*BD40</f>
        <v>0</v>
      </c>
      <c r="BG40" s="61">
        <f t="shared" si="18"/>
        <v>0</v>
      </c>
      <c r="BH40" s="61">
        <f t="shared" si="19"/>
        <v>0</v>
      </c>
      <c r="BI40" s="61">
        <f t="shared" si="20"/>
        <v>0</v>
      </c>
      <c r="BJ40" s="80">
        <f>VLOOKUP(F40,Ceilings!$B$5:$D$15,2)</f>
        <v>0</v>
      </c>
      <c r="BK40" s="81">
        <f>VLOOKUP(F40,Ceilings!$B$5:$D$15,3)</f>
        <v>0</v>
      </c>
      <c r="BL40" s="38"/>
      <c r="BM40" s="38"/>
      <c r="BN40" s="38"/>
      <c r="BO40" s="38"/>
      <c r="BP40" s="38"/>
      <c r="BQ40" s="38"/>
      <c r="BR40" s="38"/>
      <c r="BS40" s="38"/>
      <c r="BT40" s="38"/>
      <c r="BU40" s="38"/>
      <c r="BV40" s="38"/>
      <c r="BW40" s="38"/>
      <c r="BX40" s="38"/>
      <c r="BY40" s="38"/>
      <c r="BZ40" s="38"/>
      <c r="CA40" s="38"/>
      <c r="CB40" s="38"/>
    </row>
    <row r="41" spans="1:80" ht="12.95" customHeight="1">
      <c r="A41" s="38"/>
      <c r="B41" s="510"/>
      <c r="C41" s="892" t="s">
        <v>2463</v>
      </c>
      <c r="D41" s="893"/>
      <c r="E41" s="99" t="s">
        <v>1183</v>
      </c>
      <c r="F41" s="724"/>
      <c r="G41" s="725"/>
      <c r="H41" s="726"/>
      <c r="I41" s="62" t="str">
        <f>IF(F41="","",VLOOKUP(F41,Ceilings!$B$13:$F$15,5))</f>
        <v/>
      </c>
      <c r="J41" s="62" t="str">
        <f>IF(F41="","",VLOOKUP(F41,Ceilings!$B$13:$G$15,6))</f>
        <v/>
      </c>
      <c r="K41" s="64">
        <f t="shared" si="0"/>
        <v>0</v>
      </c>
      <c r="L41" s="94">
        <f t="shared" si="23"/>
        <v>0</v>
      </c>
      <c r="M41" s="64">
        <f t="shared" si="24"/>
        <v>0</v>
      </c>
      <c r="N41" s="567"/>
      <c r="O41" s="63">
        <f>$I$41*N41</f>
        <v>0</v>
      </c>
      <c r="P41" s="64">
        <f>$J$41*N41</f>
        <v>0</v>
      </c>
      <c r="Q41" s="567"/>
      <c r="R41" s="63">
        <f>$I$41*Q41</f>
        <v>0</v>
      </c>
      <c r="S41" s="64">
        <f>$J$41*Q41</f>
        <v>0</v>
      </c>
      <c r="T41" s="567"/>
      <c r="U41" s="63">
        <f>$I$41*T41</f>
        <v>0</v>
      </c>
      <c r="V41" s="64">
        <f>$J$41*T41</f>
        <v>0</v>
      </c>
      <c r="W41" s="567"/>
      <c r="X41" s="63">
        <f>$I$41*W41</f>
        <v>0</v>
      </c>
      <c r="Y41" s="64">
        <f>$J$41*W41</f>
        <v>0</v>
      </c>
      <c r="Z41" s="567"/>
      <c r="AA41" s="63">
        <f>$I$41*Z41</f>
        <v>0</v>
      </c>
      <c r="AB41" s="64">
        <f>$J$41*Z41</f>
        <v>0</v>
      </c>
      <c r="AC41" s="567"/>
      <c r="AD41" s="63">
        <f>$I$41*AC41</f>
        <v>0</v>
      </c>
      <c r="AE41" s="64">
        <f>$J$41*AC41</f>
        <v>0</v>
      </c>
      <c r="AF41" s="567"/>
      <c r="AG41" s="63">
        <f>$I$41*AF41</f>
        <v>0</v>
      </c>
      <c r="AH41" s="64">
        <f>$J$41*AF41</f>
        <v>0</v>
      </c>
      <c r="AI41" s="567"/>
      <c r="AJ41" s="63">
        <f>$I$41*AI41</f>
        <v>0</v>
      </c>
      <c r="AK41" s="64">
        <f>$J$41*AI41</f>
        <v>0</v>
      </c>
      <c r="AL41" s="567"/>
      <c r="AM41" s="63">
        <f>$I$41*AL41</f>
        <v>0</v>
      </c>
      <c r="AN41" s="64">
        <f>$J$41*AL41</f>
        <v>0</v>
      </c>
      <c r="AO41" s="567"/>
      <c r="AP41" s="63">
        <f>$I$41*AO41</f>
        <v>0</v>
      </c>
      <c r="AQ41" s="64">
        <f>$J$41*AO41</f>
        <v>0</v>
      </c>
      <c r="AR41" s="567"/>
      <c r="AS41" s="63">
        <f>$I$41*AR41</f>
        <v>0</v>
      </c>
      <c r="AT41" s="64">
        <f>$J$41*AR41</f>
        <v>0</v>
      </c>
      <c r="AU41" s="567"/>
      <c r="AV41" s="63">
        <f>$I$41*AU41</f>
        <v>0</v>
      </c>
      <c r="AW41" s="64">
        <f>$J$41*AU41</f>
        <v>0</v>
      </c>
      <c r="AX41" s="567"/>
      <c r="AY41" s="63">
        <f>$I$41*AX41</f>
        <v>0</v>
      </c>
      <c r="AZ41" s="64">
        <f>$J$41*AX41</f>
        <v>0</v>
      </c>
      <c r="BA41" s="567"/>
      <c r="BB41" s="63">
        <f>$I$41*BA41</f>
        <v>0</v>
      </c>
      <c r="BC41" s="64">
        <f>$J$41*BA41</f>
        <v>0</v>
      </c>
      <c r="BD41" s="567"/>
      <c r="BE41" s="63">
        <f>$I$41*BD41</f>
        <v>0</v>
      </c>
      <c r="BF41" s="64">
        <f>$J$41*BD41</f>
        <v>0</v>
      </c>
      <c r="BG41" s="61">
        <f t="shared" si="18"/>
        <v>0</v>
      </c>
      <c r="BH41" s="61">
        <f t="shared" si="19"/>
        <v>0</v>
      </c>
      <c r="BI41" s="61">
        <f t="shared" si="20"/>
        <v>0</v>
      </c>
      <c r="BJ41" s="80">
        <f>VLOOKUP(F41,Ceilings!$B$5:$D$15,2)</f>
        <v>0</v>
      </c>
      <c r="BK41" s="81">
        <f>VLOOKUP(F41,Ceilings!$B$5:$D$15,3)</f>
        <v>0</v>
      </c>
      <c r="BL41" s="38"/>
      <c r="BM41" s="38"/>
      <c r="BN41" s="38"/>
      <c r="BO41" s="38"/>
      <c r="BP41" s="38"/>
      <c r="BQ41" s="38"/>
      <c r="BR41" s="38"/>
      <c r="BS41" s="38"/>
      <c r="BT41" s="38"/>
      <c r="BU41" s="38"/>
      <c r="BV41" s="38"/>
      <c r="BW41" s="38"/>
      <c r="BX41" s="38"/>
      <c r="BY41" s="38"/>
      <c r="BZ41" s="38"/>
      <c r="CA41" s="38"/>
      <c r="CB41" s="38"/>
    </row>
    <row r="42" spans="1:80" ht="12.95" customHeight="1" thickBot="1">
      <c r="A42" s="38"/>
      <c r="B42" s="511"/>
      <c r="C42" s="855"/>
      <c r="D42" s="856"/>
      <c r="E42" s="100" t="s">
        <v>1184</v>
      </c>
      <c r="F42" s="727"/>
      <c r="G42" s="728"/>
      <c r="H42" s="729"/>
      <c r="I42" s="62" t="str">
        <f>IF(F42="","",VLOOKUP(F42,Ceilings!$B$13:$F$15,5))</f>
        <v/>
      </c>
      <c r="J42" s="62" t="str">
        <f>IF(F42="","",VLOOKUP(F42,Ceilings!$B$13:$G$15,6))</f>
        <v/>
      </c>
      <c r="K42" s="64">
        <f t="shared" si="0"/>
        <v>0</v>
      </c>
      <c r="L42" s="94">
        <f t="shared" si="23"/>
        <v>0</v>
      </c>
      <c r="M42" s="64">
        <f t="shared" si="24"/>
        <v>0</v>
      </c>
      <c r="N42" s="568"/>
      <c r="O42" s="68">
        <f>$I$42*N42</f>
        <v>0</v>
      </c>
      <c r="P42" s="69">
        <f>$J$42*N42</f>
        <v>0</v>
      </c>
      <c r="Q42" s="568"/>
      <c r="R42" s="68">
        <f>$I$42*Q42</f>
        <v>0</v>
      </c>
      <c r="S42" s="69">
        <f>$J$42*Q42</f>
        <v>0</v>
      </c>
      <c r="T42" s="568"/>
      <c r="U42" s="68">
        <f>$I$42*T42</f>
        <v>0</v>
      </c>
      <c r="V42" s="69">
        <f>$J$42*T42</f>
        <v>0</v>
      </c>
      <c r="W42" s="568"/>
      <c r="X42" s="68">
        <f>$I$42*W42</f>
        <v>0</v>
      </c>
      <c r="Y42" s="69">
        <f>$J$42*W42</f>
        <v>0</v>
      </c>
      <c r="Z42" s="568"/>
      <c r="AA42" s="68">
        <f>$I$42*Z42</f>
        <v>0</v>
      </c>
      <c r="AB42" s="69">
        <f>$J$42*Z42</f>
        <v>0</v>
      </c>
      <c r="AC42" s="568"/>
      <c r="AD42" s="68">
        <f>$I$42*AC42</f>
        <v>0</v>
      </c>
      <c r="AE42" s="69">
        <f>$J$42*AC42</f>
        <v>0</v>
      </c>
      <c r="AF42" s="568"/>
      <c r="AG42" s="68">
        <f>$I$42*AF42</f>
        <v>0</v>
      </c>
      <c r="AH42" s="69">
        <f>$J$42*AF42</f>
        <v>0</v>
      </c>
      <c r="AI42" s="568"/>
      <c r="AJ42" s="68">
        <f>$I$42*AI42</f>
        <v>0</v>
      </c>
      <c r="AK42" s="69">
        <f>$J$42*AI42</f>
        <v>0</v>
      </c>
      <c r="AL42" s="568"/>
      <c r="AM42" s="68">
        <f>$I$42*AL42</f>
        <v>0</v>
      </c>
      <c r="AN42" s="69">
        <f>$J$42*AL42</f>
        <v>0</v>
      </c>
      <c r="AO42" s="568"/>
      <c r="AP42" s="68">
        <f>$I$42*AO42</f>
        <v>0</v>
      </c>
      <c r="AQ42" s="69">
        <f>$J$42*AO42</f>
        <v>0</v>
      </c>
      <c r="AR42" s="568"/>
      <c r="AS42" s="68">
        <f>$I$42*AR42</f>
        <v>0</v>
      </c>
      <c r="AT42" s="69">
        <f>$J$42*AR42</f>
        <v>0</v>
      </c>
      <c r="AU42" s="568"/>
      <c r="AV42" s="68">
        <f>$I$42*AU42</f>
        <v>0</v>
      </c>
      <c r="AW42" s="69">
        <f>$J$42*AU42</f>
        <v>0</v>
      </c>
      <c r="AX42" s="568"/>
      <c r="AY42" s="68">
        <f>$I$42*AX42</f>
        <v>0</v>
      </c>
      <c r="AZ42" s="69">
        <f>$J$42*AX42</f>
        <v>0</v>
      </c>
      <c r="BA42" s="568"/>
      <c r="BB42" s="68">
        <f>$I$42*BA42</f>
        <v>0</v>
      </c>
      <c r="BC42" s="69">
        <f>$J$42*BA42</f>
        <v>0</v>
      </c>
      <c r="BD42" s="568"/>
      <c r="BE42" s="68">
        <f>$I$42*BD42</f>
        <v>0</v>
      </c>
      <c r="BF42" s="69">
        <f>$J$42*BD42</f>
        <v>0</v>
      </c>
      <c r="BG42" s="61">
        <f t="shared" si="18"/>
        <v>0</v>
      </c>
      <c r="BH42" s="61">
        <f t="shared" si="19"/>
        <v>0</v>
      </c>
      <c r="BI42" s="61">
        <f t="shared" si="20"/>
        <v>0</v>
      </c>
      <c r="BJ42" s="80">
        <f>VLOOKUP(F42,Ceilings!$B$5:$D$15,2)</f>
        <v>0</v>
      </c>
      <c r="BK42" s="81">
        <f>VLOOKUP(F42,Ceilings!$B$5:$D$15,3)</f>
        <v>0</v>
      </c>
      <c r="BL42" s="38"/>
      <c r="BM42" s="38"/>
      <c r="BN42" s="38"/>
      <c r="BO42" s="38"/>
      <c r="BP42" s="38"/>
      <c r="BQ42" s="38"/>
      <c r="BR42" s="38"/>
      <c r="BS42" s="38"/>
      <c r="BT42" s="38"/>
      <c r="BU42" s="38"/>
      <c r="BV42" s="38"/>
      <c r="BW42" s="38"/>
      <c r="BX42" s="38"/>
      <c r="BY42" s="38"/>
      <c r="BZ42" s="38"/>
      <c r="CA42" s="38"/>
      <c r="CB42" s="38"/>
    </row>
    <row r="43" spans="1:80" ht="12.95" customHeight="1">
      <c r="A43" s="38"/>
      <c r="B43" s="510" t="s">
        <v>1300</v>
      </c>
      <c r="C43" s="894" t="s">
        <v>2464</v>
      </c>
      <c r="D43" s="894"/>
      <c r="E43" s="101" t="s">
        <v>1180</v>
      </c>
      <c r="F43" s="839"/>
      <c r="G43" s="840"/>
      <c r="H43" s="841"/>
      <c r="I43" s="58" t="str">
        <f t="shared" ref="I43:I49" si="25">IF(F43="","",BJ43)</f>
        <v/>
      </c>
      <c r="J43" s="58" t="str">
        <f>IF(F43="","",BK43)</f>
        <v/>
      </c>
      <c r="K43" s="60">
        <f t="shared" si="0"/>
        <v>0</v>
      </c>
      <c r="L43" s="59">
        <f t="shared" si="23"/>
        <v>0</v>
      </c>
      <c r="M43" s="60">
        <f t="shared" si="24"/>
        <v>0</v>
      </c>
      <c r="N43" s="566"/>
      <c r="O43" s="59">
        <f>$I$43*N43</f>
        <v>0</v>
      </c>
      <c r="P43" s="60">
        <f>$J$43*N43</f>
        <v>0</v>
      </c>
      <c r="Q43" s="566"/>
      <c r="R43" s="59">
        <f>$I$43*Q43</f>
        <v>0</v>
      </c>
      <c r="S43" s="60">
        <f>$J$43*Q43</f>
        <v>0</v>
      </c>
      <c r="T43" s="566"/>
      <c r="U43" s="59">
        <f>$I$43*T43</f>
        <v>0</v>
      </c>
      <c r="V43" s="60">
        <f>$J$43*T43</f>
        <v>0</v>
      </c>
      <c r="W43" s="566"/>
      <c r="X43" s="59">
        <f>$I$43*W43</f>
        <v>0</v>
      </c>
      <c r="Y43" s="60">
        <f>$J$43*W43</f>
        <v>0</v>
      </c>
      <c r="Z43" s="566"/>
      <c r="AA43" s="59">
        <f>$I$43*Z43</f>
        <v>0</v>
      </c>
      <c r="AB43" s="60">
        <f>$J$43*Z43</f>
        <v>0</v>
      </c>
      <c r="AC43" s="566"/>
      <c r="AD43" s="59">
        <f>$I$43*AC43</f>
        <v>0</v>
      </c>
      <c r="AE43" s="60">
        <f>$J$43*AC43</f>
        <v>0</v>
      </c>
      <c r="AF43" s="566"/>
      <c r="AG43" s="59">
        <f>$I$43*AF43</f>
        <v>0</v>
      </c>
      <c r="AH43" s="60">
        <f>$J$43*AF43</f>
        <v>0</v>
      </c>
      <c r="AI43" s="566"/>
      <c r="AJ43" s="59">
        <f>$I$43*AI43</f>
        <v>0</v>
      </c>
      <c r="AK43" s="60">
        <f>$J$43*AI43</f>
        <v>0</v>
      </c>
      <c r="AL43" s="566"/>
      <c r="AM43" s="59">
        <f>$I$43*AL43</f>
        <v>0</v>
      </c>
      <c r="AN43" s="60">
        <f>$J$43*AL43</f>
        <v>0</v>
      </c>
      <c r="AO43" s="566"/>
      <c r="AP43" s="59">
        <f>$I$43*AO43</f>
        <v>0</v>
      </c>
      <c r="AQ43" s="60">
        <f>$J$43*AO43</f>
        <v>0</v>
      </c>
      <c r="AR43" s="566"/>
      <c r="AS43" s="59">
        <f>$I$43*AR43</f>
        <v>0</v>
      </c>
      <c r="AT43" s="60">
        <f>$J$43*AR43</f>
        <v>0</v>
      </c>
      <c r="AU43" s="566"/>
      <c r="AV43" s="59">
        <f>$I$43*AU43</f>
        <v>0</v>
      </c>
      <c r="AW43" s="60">
        <f>$J$43*AU43</f>
        <v>0</v>
      </c>
      <c r="AX43" s="566"/>
      <c r="AY43" s="59">
        <f>$I$43*AX43</f>
        <v>0</v>
      </c>
      <c r="AZ43" s="60">
        <f>$J$43*AX43</f>
        <v>0</v>
      </c>
      <c r="BA43" s="566"/>
      <c r="BB43" s="59">
        <f>$I$43*BA43</f>
        <v>0</v>
      </c>
      <c r="BC43" s="60">
        <f>$J$43*BA43</f>
        <v>0</v>
      </c>
      <c r="BD43" s="566"/>
      <c r="BE43" s="59">
        <f>$I$43*BD43</f>
        <v>0</v>
      </c>
      <c r="BF43" s="60">
        <f>$J$43*BD43</f>
        <v>0</v>
      </c>
      <c r="BG43" s="61">
        <f t="shared" si="18"/>
        <v>0</v>
      </c>
      <c r="BH43" s="61">
        <f t="shared" si="19"/>
        <v>0</v>
      </c>
      <c r="BI43" s="61">
        <f t="shared" si="20"/>
        <v>0</v>
      </c>
      <c r="BJ43" s="80">
        <f>VLOOKUP(F43,Floors!$B$4:$F$27,5)</f>
        <v>0</v>
      </c>
      <c r="BK43" s="81">
        <f>VLOOKUP(F43,Floors!$B$4:$G$27,6)</f>
        <v>0</v>
      </c>
      <c r="BL43" s="38"/>
      <c r="BM43" s="38"/>
      <c r="BN43" s="38"/>
      <c r="BO43" s="38"/>
      <c r="BP43" s="38"/>
      <c r="BQ43" s="38"/>
      <c r="BR43" s="38"/>
      <c r="BS43" s="38"/>
      <c r="BT43" s="38"/>
      <c r="BU43" s="38"/>
      <c r="BV43" s="38"/>
      <c r="BW43" s="38"/>
      <c r="BX43" s="38"/>
      <c r="BY43" s="38"/>
      <c r="BZ43" s="38"/>
      <c r="CA43" s="38"/>
      <c r="CB43" s="38"/>
    </row>
    <row r="44" spans="1:80" ht="12.95" customHeight="1">
      <c r="A44" s="38"/>
      <c r="B44" s="510"/>
      <c r="C44" s="895"/>
      <c r="D44" s="895"/>
      <c r="E44" s="82" t="s">
        <v>1181</v>
      </c>
      <c r="F44" s="820"/>
      <c r="G44" s="821"/>
      <c r="H44" s="822"/>
      <c r="I44" s="62" t="str">
        <f t="shared" si="25"/>
        <v/>
      </c>
      <c r="J44" s="62" t="str">
        <f>IF(F44="","",BK44)</f>
        <v/>
      </c>
      <c r="K44" s="64">
        <f t="shared" si="0"/>
        <v>0</v>
      </c>
      <c r="L44" s="63">
        <f t="shared" si="23"/>
        <v>0</v>
      </c>
      <c r="M44" s="64">
        <f t="shared" si="24"/>
        <v>0</v>
      </c>
      <c r="N44" s="567"/>
      <c r="O44" s="102">
        <f>$I$44*N44</f>
        <v>0</v>
      </c>
      <c r="P44" s="75">
        <f>$J$44*N44</f>
        <v>0</v>
      </c>
      <c r="Q44" s="567"/>
      <c r="R44" s="102">
        <f>$I$44*Q44</f>
        <v>0</v>
      </c>
      <c r="S44" s="75">
        <f>$J$44*Q44</f>
        <v>0</v>
      </c>
      <c r="T44" s="567"/>
      <c r="U44" s="102">
        <f>$I$44*T44</f>
        <v>0</v>
      </c>
      <c r="V44" s="75">
        <f>$J$44*T44</f>
        <v>0</v>
      </c>
      <c r="W44" s="567"/>
      <c r="X44" s="102">
        <f>$I$44*W44</f>
        <v>0</v>
      </c>
      <c r="Y44" s="75">
        <f>$J$44*W44</f>
        <v>0</v>
      </c>
      <c r="Z44" s="567"/>
      <c r="AA44" s="102">
        <f>$I$44*Z44</f>
        <v>0</v>
      </c>
      <c r="AB44" s="75">
        <f>$J$44*Z44</f>
        <v>0</v>
      </c>
      <c r="AC44" s="567"/>
      <c r="AD44" s="102">
        <f>$I$44*AC44</f>
        <v>0</v>
      </c>
      <c r="AE44" s="75">
        <f>$J$44*AC44</f>
        <v>0</v>
      </c>
      <c r="AF44" s="567"/>
      <c r="AG44" s="102">
        <f>$I$44*AF44</f>
        <v>0</v>
      </c>
      <c r="AH44" s="75">
        <f>$J$44*AF44</f>
        <v>0</v>
      </c>
      <c r="AI44" s="567"/>
      <c r="AJ44" s="102">
        <f>$I$44*AI44</f>
        <v>0</v>
      </c>
      <c r="AK44" s="75">
        <f>$J$44*AI44</f>
        <v>0</v>
      </c>
      <c r="AL44" s="567"/>
      <c r="AM44" s="102">
        <f>$I$44*AL44</f>
        <v>0</v>
      </c>
      <c r="AN44" s="75">
        <f>$J$44*AL44</f>
        <v>0</v>
      </c>
      <c r="AO44" s="567"/>
      <c r="AP44" s="102">
        <f>$I$44*AO44</f>
        <v>0</v>
      </c>
      <c r="AQ44" s="75">
        <f>$J$44*AO44</f>
        <v>0</v>
      </c>
      <c r="AR44" s="567"/>
      <c r="AS44" s="102">
        <f>$I$44*AR44</f>
        <v>0</v>
      </c>
      <c r="AT44" s="75">
        <f>$J$44*AR44</f>
        <v>0</v>
      </c>
      <c r="AU44" s="567"/>
      <c r="AV44" s="102">
        <f>$I$44*AU44</f>
        <v>0</v>
      </c>
      <c r="AW44" s="75">
        <f>$J$44*AU44</f>
        <v>0</v>
      </c>
      <c r="AX44" s="567"/>
      <c r="AY44" s="102">
        <f>$I$44*AX44</f>
        <v>0</v>
      </c>
      <c r="AZ44" s="75">
        <f>$J$44*AX44</f>
        <v>0</v>
      </c>
      <c r="BA44" s="567"/>
      <c r="BB44" s="102">
        <f>$I$44*BA44</f>
        <v>0</v>
      </c>
      <c r="BC44" s="75">
        <f>$J$44*BA44</f>
        <v>0</v>
      </c>
      <c r="BD44" s="567"/>
      <c r="BE44" s="102">
        <f>$I$44*BD44</f>
        <v>0</v>
      </c>
      <c r="BF44" s="75">
        <f>$J$44*BD44</f>
        <v>0</v>
      </c>
      <c r="BG44" s="61">
        <f t="shared" si="18"/>
        <v>0</v>
      </c>
      <c r="BH44" s="61">
        <f t="shared" si="19"/>
        <v>0</v>
      </c>
      <c r="BI44" s="61">
        <f t="shared" si="20"/>
        <v>0</v>
      </c>
      <c r="BJ44" s="80">
        <f>VLOOKUP(F44,Floors!$B$4:$F$27,5)</f>
        <v>0</v>
      </c>
      <c r="BK44" s="81">
        <f>VLOOKUP(F44,Floors!$B$4:$G$27,6)</f>
        <v>0</v>
      </c>
      <c r="BL44" s="38"/>
      <c r="BM44" s="38"/>
      <c r="BN44" s="38"/>
      <c r="BO44" s="38"/>
      <c r="BP44" s="38"/>
      <c r="BQ44" s="38"/>
      <c r="BR44" s="38"/>
      <c r="BS44" s="38"/>
      <c r="BT44" s="38"/>
      <c r="BU44" s="38"/>
      <c r="BV44" s="38"/>
      <c r="BW44" s="38"/>
      <c r="BX44" s="38"/>
      <c r="BY44" s="38"/>
      <c r="BZ44" s="38"/>
      <c r="CA44" s="38"/>
      <c r="CB44" s="38"/>
    </row>
    <row r="45" spans="1:80" ht="12.95" customHeight="1">
      <c r="A45" s="38"/>
      <c r="B45" s="510"/>
      <c r="C45" s="819" t="s">
        <v>2574</v>
      </c>
      <c r="D45" s="819"/>
      <c r="E45" s="82" t="s">
        <v>1182</v>
      </c>
      <c r="F45" s="820"/>
      <c r="G45" s="821"/>
      <c r="H45" s="822"/>
      <c r="I45" s="62" t="str">
        <f>IF(F45="","",BJ45*K4)</f>
        <v/>
      </c>
      <c r="J45" s="62" t="str">
        <f>IF(F45="","",BK45*K5)</f>
        <v/>
      </c>
      <c r="K45" s="64">
        <f>BG45</f>
        <v>0</v>
      </c>
      <c r="L45" s="63">
        <f>I45*$K45</f>
        <v>0</v>
      </c>
      <c r="M45" s="64">
        <f>J45*K45</f>
        <v>0</v>
      </c>
      <c r="N45" s="567"/>
      <c r="O45" s="102">
        <f>$I$45*N45</f>
        <v>0</v>
      </c>
      <c r="P45" s="75">
        <f>$J$45*N45</f>
        <v>0</v>
      </c>
      <c r="Q45" s="567"/>
      <c r="R45" s="102">
        <f>$I$45*Q45</f>
        <v>0</v>
      </c>
      <c r="S45" s="75">
        <f>$J$45*Q45</f>
        <v>0</v>
      </c>
      <c r="T45" s="567"/>
      <c r="U45" s="102">
        <f>$I$45*T45</f>
        <v>0</v>
      </c>
      <c r="V45" s="75">
        <f>$J$45*T45</f>
        <v>0</v>
      </c>
      <c r="W45" s="567"/>
      <c r="X45" s="102">
        <f>$I$45*W45</f>
        <v>0</v>
      </c>
      <c r="Y45" s="75">
        <f>$J$45*W45</f>
        <v>0</v>
      </c>
      <c r="Z45" s="567"/>
      <c r="AA45" s="102">
        <f>$I$45*Z45</f>
        <v>0</v>
      </c>
      <c r="AB45" s="75">
        <f>$J$45*Z45</f>
        <v>0</v>
      </c>
      <c r="AC45" s="567"/>
      <c r="AD45" s="102">
        <f>$I$45*AC45</f>
        <v>0</v>
      </c>
      <c r="AE45" s="75">
        <f>$J$45*AC45</f>
        <v>0</v>
      </c>
      <c r="AF45" s="567"/>
      <c r="AG45" s="102">
        <f>$I$45*AF45</f>
        <v>0</v>
      </c>
      <c r="AH45" s="75">
        <f>$J$45*AF45</f>
        <v>0</v>
      </c>
      <c r="AI45" s="567"/>
      <c r="AJ45" s="102">
        <f>$I$45*AI45</f>
        <v>0</v>
      </c>
      <c r="AK45" s="75">
        <f>$J$45*AI45</f>
        <v>0</v>
      </c>
      <c r="AL45" s="567"/>
      <c r="AM45" s="102">
        <f>$I$45*AL45</f>
        <v>0</v>
      </c>
      <c r="AN45" s="75">
        <f>$J$45*AL45</f>
        <v>0</v>
      </c>
      <c r="AO45" s="567"/>
      <c r="AP45" s="102">
        <f>$I$45*AO45</f>
        <v>0</v>
      </c>
      <c r="AQ45" s="75">
        <f>$J$45*AO45</f>
        <v>0</v>
      </c>
      <c r="AR45" s="567"/>
      <c r="AS45" s="102">
        <f>$I$45*AR45</f>
        <v>0</v>
      </c>
      <c r="AT45" s="75">
        <f>$J$45*AR45</f>
        <v>0</v>
      </c>
      <c r="AU45" s="567"/>
      <c r="AV45" s="102">
        <f>$I$45*AU45</f>
        <v>0</v>
      </c>
      <c r="AW45" s="75">
        <f>$J$45*AU45</f>
        <v>0</v>
      </c>
      <c r="AX45" s="567"/>
      <c r="AY45" s="102">
        <f>$I$45*AX45</f>
        <v>0</v>
      </c>
      <c r="AZ45" s="75">
        <f>$J$45*AX45</f>
        <v>0</v>
      </c>
      <c r="BA45" s="567"/>
      <c r="BB45" s="102">
        <f>$I$45*BA45</f>
        <v>0</v>
      </c>
      <c r="BC45" s="75">
        <f>$J$45*BA45</f>
        <v>0</v>
      </c>
      <c r="BD45" s="567"/>
      <c r="BE45" s="102">
        <f>$I$45*BD45</f>
        <v>0</v>
      </c>
      <c r="BF45" s="75">
        <f>$J$45*BD45</f>
        <v>0</v>
      </c>
      <c r="BG45" s="61">
        <f>N45+Q45+T45+W45+Z45+AC45+AF45+AI45+AL45+AO45+AR45+AU45+AX45+BA45+BD45</f>
        <v>0</v>
      </c>
      <c r="BH45" s="61">
        <f>O45+R45+U45+X45+AA45+AD45+AG45+AJ45+AM45+AP45+AS45+AV45+AY45+BB45+BE45</f>
        <v>0</v>
      </c>
      <c r="BI45" s="61">
        <f>P45+S45+V45+Y45+AB45+AE45+AH45+AK45+AN45+AQ45+AT45+AW45+AZ45+BC45+BF45</f>
        <v>0</v>
      </c>
      <c r="BJ45" s="80">
        <f>VLOOKUP(F45,Floors!B10:C12,2)</f>
        <v>0</v>
      </c>
      <c r="BK45" s="80">
        <f>VLOOKUP(F45,Floors!B10:C12,2)</f>
        <v>0</v>
      </c>
      <c r="BL45" s="38"/>
      <c r="BM45" s="38"/>
      <c r="BN45" s="38"/>
      <c r="BO45" s="38"/>
      <c r="BP45" s="38"/>
      <c r="BQ45" s="38"/>
      <c r="BR45" s="38"/>
      <c r="BS45" s="38"/>
      <c r="BT45" s="38"/>
      <c r="BU45" s="38"/>
      <c r="BV45" s="38"/>
      <c r="BW45" s="38"/>
      <c r="BX45" s="38"/>
      <c r="BY45" s="38"/>
      <c r="BZ45" s="38"/>
      <c r="CA45" s="38"/>
      <c r="CB45" s="38"/>
    </row>
    <row r="46" spans="1:80" ht="12.95" customHeight="1">
      <c r="A46" s="38"/>
      <c r="B46" s="510"/>
      <c r="C46" s="852" t="s">
        <v>1327</v>
      </c>
      <c r="D46" s="852"/>
      <c r="E46" s="82" t="s">
        <v>1183</v>
      </c>
      <c r="F46" s="724"/>
      <c r="G46" s="725"/>
      <c r="H46" s="726"/>
      <c r="I46" s="62" t="str">
        <f t="shared" si="25"/>
        <v/>
      </c>
      <c r="J46" s="807"/>
      <c r="K46" s="64">
        <f t="shared" si="0"/>
        <v>0</v>
      </c>
      <c r="L46" s="63">
        <f t="shared" si="23"/>
        <v>0</v>
      </c>
      <c r="M46" s="803"/>
      <c r="N46" s="567"/>
      <c r="O46" s="102">
        <f>$I$46*N46</f>
        <v>0</v>
      </c>
      <c r="P46" s="803"/>
      <c r="Q46" s="567"/>
      <c r="R46" s="102">
        <f>$I$46*Q46</f>
        <v>0</v>
      </c>
      <c r="S46" s="803"/>
      <c r="T46" s="567"/>
      <c r="U46" s="102">
        <f>$I$46*T46</f>
        <v>0</v>
      </c>
      <c r="V46" s="803"/>
      <c r="W46" s="567"/>
      <c r="X46" s="102">
        <f>$I$46*W46</f>
        <v>0</v>
      </c>
      <c r="Y46" s="803"/>
      <c r="Z46" s="567"/>
      <c r="AA46" s="102">
        <f>$I$46*Z46</f>
        <v>0</v>
      </c>
      <c r="AB46" s="803"/>
      <c r="AC46" s="567"/>
      <c r="AD46" s="102">
        <f>$I$46*AC46</f>
        <v>0</v>
      </c>
      <c r="AE46" s="803"/>
      <c r="AF46" s="567"/>
      <c r="AG46" s="102">
        <f>$I$46*AF46</f>
        <v>0</v>
      </c>
      <c r="AH46" s="803"/>
      <c r="AI46" s="567"/>
      <c r="AJ46" s="102">
        <f>$I$46*AI46</f>
        <v>0</v>
      </c>
      <c r="AK46" s="803"/>
      <c r="AL46" s="567"/>
      <c r="AM46" s="102">
        <f>$I$46*AL46</f>
        <v>0</v>
      </c>
      <c r="AN46" s="803"/>
      <c r="AO46" s="567"/>
      <c r="AP46" s="102">
        <f>$I$46*AO46</f>
        <v>0</v>
      </c>
      <c r="AQ46" s="803"/>
      <c r="AR46" s="567"/>
      <c r="AS46" s="102">
        <f>$I$46*AR46</f>
        <v>0</v>
      </c>
      <c r="AT46" s="803"/>
      <c r="AU46" s="567"/>
      <c r="AV46" s="102">
        <f>$I$46*AU46</f>
        <v>0</v>
      </c>
      <c r="AW46" s="803"/>
      <c r="AX46" s="567"/>
      <c r="AY46" s="102">
        <f>$I$46*AX46</f>
        <v>0</v>
      </c>
      <c r="AZ46" s="803"/>
      <c r="BA46" s="567"/>
      <c r="BB46" s="102">
        <f>$I$46*BA46</f>
        <v>0</v>
      </c>
      <c r="BC46" s="803"/>
      <c r="BD46" s="567"/>
      <c r="BE46" s="102">
        <f>$I$46*BD46</f>
        <v>0</v>
      </c>
      <c r="BF46" s="803"/>
      <c r="BG46" s="61">
        <f t="shared" si="18"/>
        <v>0</v>
      </c>
      <c r="BH46" s="61">
        <f t="shared" si="19"/>
        <v>0</v>
      </c>
      <c r="BI46" s="61">
        <f t="shared" si="20"/>
        <v>0</v>
      </c>
      <c r="BJ46" s="80">
        <f>VLOOKUP(F46,Floors!B24:C27,2)*K4</f>
        <v>0</v>
      </c>
      <c r="BK46" s="81"/>
      <c r="BL46" s="38"/>
      <c r="BM46" s="38"/>
      <c r="BN46" s="38"/>
      <c r="BO46" s="38"/>
      <c r="BP46" s="38"/>
      <c r="BQ46" s="38"/>
      <c r="BR46" s="38"/>
      <c r="BS46" s="38"/>
      <c r="BT46" s="38"/>
      <c r="BU46" s="38"/>
      <c r="BV46" s="38"/>
      <c r="BW46" s="38"/>
      <c r="BX46" s="38"/>
      <c r="BY46" s="38"/>
      <c r="BZ46" s="38"/>
      <c r="CA46" s="38"/>
      <c r="CB46" s="38"/>
    </row>
    <row r="47" spans="1:80" ht="12.95" customHeight="1">
      <c r="A47" s="38"/>
      <c r="B47" s="510"/>
      <c r="C47" s="502" t="s">
        <v>1267</v>
      </c>
      <c r="D47" s="503"/>
      <c r="E47" s="99" t="s">
        <v>1184</v>
      </c>
      <c r="F47" s="724" t="s">
        <v>2800</v>
      </c>
      <c r="G47" s="725"/>
      <c r="H47" s="726"/>
      <c r="I47" s="62">
        <f t="shared" si="25"/>
        <v>1.58</v>
      </c>
      <c r="J47" s="808"/>
      <c r="K47" s="64">
        <f t="shared" si="0"/>
        <v>1185.8</v>
      </c>
      <c r="L47" s="63">
        <f t="shared" si="23"/>
        <v>1873.5640000000001</v>
      </c>
      <c r="M47" s="804"/>
      <c r="N47" s="567"/>
      <c r="O47" s="63">
        <f>$I$47*N47</f>
        <v>0</v>
      </c>
      <c r="P47" s="804"/>
      <c r="Q47" s="567"/>
      <c r="R47" s="63">
        <f>$I$47*Q47</f>
        <v>0</v>
      </c>
      <c r="S47" s="804"/>
      <c r="T47" s="567"/>
      <c r="U47" s="63">
        <f>$I$47*T47</f>
        <v>0</v>
      </c>
      <c r="V47" s="804"/>
      <c r="W47" s="567"/>
      <c r="X47" s="63">
        <f>$I$47*W47</f>
        <v>0</v>
      </c>
      <c r="Y47" s="804"/>
      <c r="Z47" s="567"/>
      <c r="AA47" s="63">
        <f>$I$47*Z47</f>
        <v>0</v>
      </c>
      <c r="AB47" s="804"/>
      <c r="AC47" s="567"/>
      <c r="AD47" s="63">
        <f>$I$47*AC47</f>
        <v>0</v>
      </c>
      <c r="AE47" s="804"/>
      <c r="AF47" s="567"/>
      <c r="AG47" s="63">
        <f>$I$47*AF47</f>
        <v>0</v>
      </c>
      <c r="AH47" s="804"/>
      <c r="AI47" s="567">
        <v>1185.8</v>
      </c>
      <c r="AJ47" s="63">
        <f>$I$47*AI47</f>
        <v>1873.5640000000001</v>
      </c>
      <c r="AK47" s="804"/>
      <c r="AL47" s="567"/>
      <c r="AM47" s="63">
        <f>$I$47*AL47</f>
        <v>0</v>
      </c>
      <c r="AN47" s="804"/>
      <c r="AO47" s="567"/>
      <c r="AP47" s="63">
        <f>$I$47*AO47</f>
        <v>0</v>
      </c>
      <c r="AQ47" s="804"/>
      <c r="AR47" s="567"/>
      <c r="AS47" s="63">
        <f>$I$47*AR47</f>
        <v>0</v>
      </c>
      <c r="AT47" s="804"/>
      <c r="AU47" s="567"/>
      <c r="AV47" s="63">
        <f>$I$47*AU47</f>
        <v>0</v>
      </c>
      <c r="AW47" s="804"/>
      <c r="AX47" s="567"/>
      <c r="AY47" s="63">
        <f>$I$47*AX47</f>
        <v>0</v>
      </c>
      <c r="AZ47" s="804"/>
      <c r="BA47" s="567"/>
      <c r="BB47" s="63">
        <f>$I$47*BA47</f>
        <v>0</v>
      </c>
      <c r="BC47" s="804"/>
      <c r="BD47" s="567"/>
      <c r="BE47" s="63">
        <f>$I$47*BD47</f>
        <v>0</v>
      </c>
      <c r="BF47" s="804"/>
      <c r="BG47" s="61">
        <f t="shared" si="18"/>
        <v>1185.8</v>
      </c>
      <c r="BH47" s="61"/>
      <c r="BI47" s="61"/>
      <c r="BJ47" s="80">
        <f>VLOOKUP(F47,Floors!B19:C22,2)*K4</f>
        <v>1.58</v>
      </c>
      <c r="BK47" s="81"/>
      <c r="BL47" s="38"/>
      <c r="BM47" s="38"/>
      <c r="BN47" s="38"/>
      <c r="BO47" s="38"/>
      <c r="BP47" s="38"/>
      <c r="BQ47" s="38"/>
      <c r="BR47" s="38"/>
      <c r="BS47" s="38"/>
      <c r="BT47" s="38"/>
      <c r="BU47" s="38"/>
      <c r="BV47" s="38"/>
      <c r="BW47" s="38"/>
      <c r="BX47" s="38"/>
      <c r="BY47" s="38"/>
      <c r="BZ47" s="38"/>
      <c r="CA47" s="38"/>
      <c r="CB47" s="38"/>
    </row>
    <row r="48" spans="1:80" ht="12.95" customHeight="1">
      <c r="A48" s="38"/>
      <c r="B48" s="510"/>
      <c r="C48" s="845" t="s">
        <v>2466</v>
      </c>
      <c r="D48" s="846"/>
      <c r="E48" s="99" t="s">
        <v>1186</v>
      </c>
      <c r="F48" s="724"/>
      <c r="G48" s="725"/>
      <c r="H48" s="726"/>
      <c r="I48" s="62" t="str">
        <f t="shared" si="25"/>
        <v/>
      </c>
      <c r="J48" s="62" t="str">
        <f>IF(F48="","",BK48)</f>
        <v/>
      </c>
      <c r="K48" s="64">
        <f t="shared" si="0"/>
        <v>0</v>
      </c>
      <c r="L48" s="94">
        <f>I48*K48</f>
        <v>0</v>
      </c>
      <c r="M48" s="64">
        <f>J48*K48</f>
        <v>0</v>
      </c>
      <c r="N48" s="567"/>
      <c r="O48" s="63">
        <f>$I$48*N48</f>
        <v>0</v>
      </c>
      <c r="P48" s="103">
        <f>$J$48*N48</f>
        <v>0</v>
      </c>
      <c r="Q48" s="567"/>
      <c r="R48" s="63">
        <f>$I$48*Q48</f>
        <v>0</v>
      </c>
      <c r="S48" s="103">
        <f>$J$48*Q48</f>
        <v>0</v>
      </c>
      <c r="T48" s="567"/>
      <c r="U48" s="63">
        <f>$I$48*T48</f>
        <v>0</v>
      </c>
      <c r="V48" s="103">
        <f>$J$48*T48</f>
        <v>0</v>
      </c>
      <c r="W48" s="567"/>
      <c r="X48" s="63">
        <f>$I$48*W48</f>
        <v>0</v>
      </c>
      <c r="Y48" s="103">
        <f>$J$48*W48</f>
        <v>0</v>
      </c>
      <c r="Z48" s="567"/>
      <c r="AA48" s="63">
        <f>$I$48*Z48</f>
        <v>0</v>
      </c>
      <c r="AB48" s="103">
        <f>$J$48*Z48</f>
        <v>0</v>
      </c>
      <c r="AC48" s="567"/>
      <c r="AD48" s="63">
        <f>$I$48*AC48</f>
        <v>0</v>
      </c>
      <c r="AE48" s="103">
        <f>$J$48*AC48</f>
        <v>0</v>
      </c>
      <c r="AF48" s="567"/>
      <c r="AG48" s="63">
        <f>$I$48*AF48</f>
        <v>0</v>
      </c>
      <c r="AH48" s="103">
        <f>$J$48*AF48</f>
        <v>0</v>
      </c>
      <c r="AI48" s="567"/>
      <c r="AJ48" s="63">
        <f>$I$48*AI48</f>
        <v>0</v>
      </c>
      <c r="AK48" s="103">
        <f>$J$48*AI48</f>
        <v>0</v>
      </c>
      <c r="AL48" s="567"/>
      <c r="AM48" s="63">
        <f>$I$48*AL48</f>
        <v>0</v>
      </c>
      <c r="AN48" s="103">
        <f>$J$48*AL48</f>
        <v>0</v>
      </c>
      <c r="AO48" s="567"/>
      <c r="AP48" s="63">
        <f>$I$48*AO48</f>
        <v>0</v>
      </c>
      <c r="AQ48" s="103">
        <f>$J$48*AO48</f>
        <v>0</v>
      </c>
      <c r="AR48" s="567"/>
      <c r="AS48" s="63">
        <f>$I$48*AR48</f>
        <v>0</v>
      </c>
      <c r="AT48" s="103">
        <f>$J$48*AR48</f>
        <v>0</v>
      </c>
      <c r="AU48" s="567"/>
      <c r="AV48" s="63">
        <f>$I$48*AU48</f>
        <v>0</v>
      </c>
      <c r="AW48" s="103">
        <f>$J$48*AU48</f>
        <v>0</v>
      </c>
      <c r="AX48" s="567"/>
      <c r="AY48" s="63">
        <f>$I$48*AX48</f>
        <v>0</v>
      </c>
      <c r="AZ48" s="103">
        <f>$J$48*AX48</f>
        <v>0</v>
      </c>
      <c r="BA48" s="567"/>
      <c r="BB48" s="63">
        <f>$I$48*BA48</f>
        <v>0</v>
      </c>
      <c r="BC48" s="103">
        <f>$J$48*BA48</f>
        <v>0</v>
      </c>
      <c r="BD48" s="567"/>
      <c r="BE48" s="63">
        <f>$I$48*BD48</f>
        <v>0</v>
      </c>
      <c r="BF48" s="103">
        <f>$J$48*BD48</f>
        <v>0</v>
      </c>
      <c r="BG48" s="61">
        <f t="shared" si="18"/>
        <v>0</v>
      </c>
      <c r="BH48" s="61">
        <f t="shared" si="19"/>
        <v>0</v>
      </c>
      <c r="BI48" s="61">
        <f t="shared" si="20"/>
        <v>0</v>
      </c>
      <c r="BJ48" s="80">
        <f>VLOOKUP(F48,Floors!B15:F17,5)</f>
        <v>0</v>
      </c>
      <c r="BK48" s="80">
        <f>VLOOKUP(F48,Floors!B15:G17,6)</f>
        <v>0</v>
      </c>
      <c r="BL48" s="38"/>
      <c r="BM48" s="38"/>
      <c r="BN48" s="38"/>
      <c r="BO48" s="38"/>
      <c r="BP48" s="38"/>
      <c r="BQ48" s="38"/>
      <c r="BR48" s="38"/>
      <c r="BS48" s="38"/>
      <c r="BT48" s="38"/>
      <c r="BU48" s="38"/>
      <c r="BV48" s="38"/>
      <c r="BW48" s="38"/>
      <c r="BX48" s="38"/>
      <c r="BY48" s="38"/>
      <c r="BZ48" s="38"/>
      <c r="CA48" s="38"/>
      <c r="CB48" s="38"/>
    </row>
    <row r="49" spans="1:80" ht="12.95" customHeight="1" thickBot="1">
      <c r="A49" s="38"/>
      <c r="B49" s="511"/>
      <c r="C49" s="855"/>
      <c r="D49" s="856"/>
      <c r="E49" s="100" t="s">
        <v>1188</v>
      </c>
      <c r="F49" s="727"/>
      <c r="G49" s="728"/>
      <c r="H49" s="729"/>
      <c r="I49" s="62" t="str">
        <f t="shared" si="25"/>
        <v/>
      </c>
      <c r="J49" s="67" t="str">
        <f>IF(F49="","",BK49)</f>
        <v/>
      </c>
      <c r="K49" s="64">
        <f t="shared" si="0"/>
        <v>0</v>
      </c>
      <c r="L49" s="86">
        <f>I49*K49</f>
        <v>0</v>
      </c>
      <c r="M49" s="69">
        <f>J49*K49</f>
        <v>0</v>
      </c>
      <c r="N49" s="568"/>
      <c r="O49" s="68">
        <f>I$49*N49</f>
        <v>0</v>
      </c>
      <c r="P49" s="69">
        <f>$J$49*N49</f>
        <v>0</v>
      </c>
      <c r="Q49" s="568"/>
      <c r="R49" s="68">
        <f>L$49*Q49</f>
        <v>0</v>
      </c>
      <c r="S49" s="69">
        <f>$J$49*Q49</f>
        <v>0</v>
      </c>
      <c r="T49" s="568"/>
      <c r="U49" s="68">
        <f>O$49*T49</f>
        <v>0</v>
      </c>
      <c r="V49" s="69">
        <f>$J$49*T49</f>
        <v>0</v>
      </c>
      <c r="W49" s="568"/>
      <c r="X49" s="68">
        <f>R$49*W49</f>
        <v>0</v>
      </c>
      <c r="Y49" s="69">
        <f>$J$49*W49</f>
        <v>0</v>
      </c>
      <c r="Z49" s="568"/>
      <c r="AA49" s="68">
        <f>U$49*Z49</f>
        <v>0</v>
      </c>
      <c r="AB49" s="69">
        <f>$J$49*Z49</f>
        <v>0</v>
      </c>
      <c r="AC49" s="568"/>
      <c r="AD49" s="68">
        <f>X$49*AC49</f>
        <v>0</v>
      </c>
      <c r="AE49" s="69">
        <f>$J$49*AC49</f>
        <v>0</v>
      </c>
      <c r="AF49" s="568"/>
      <c r="AG49" s="68">
        <f>AA$49*AF49</f>
        <v>0</v>
      </c>
      <c r="AH49" s="69">
        <f>$J$49*AF49</f>
        <v>0</v>
      </c>
      <c r="AI49" s="568"/>
      <c r="AJ49" s="68">
        <f>AD$49*AI49</f>
        <v>0</v>
      </c>
      <c r="AK49" s="69">
        <f>$J$49*AI49</f>
        <v>0</v>
      </c>
      <c r="AL49" s="568"/>
      <c r="AM49" s="68">
        <f>AG$49*AL49</f>
        <v>0</v>
      </c>
      <c r="AN49" s="69">
        <f>$J$49*AL49</f>
        <v>0</v>
      </c>
      <c r="AO49" s="568"/>
      <c r="AP49" s="68">
        <f>AJ$49*AO49</f>
        <v>0</v>
      </c>
      <c r="AQ49" s="69">
        <f>$J$49*AO49</f>
        <v>0</v>
      </c>
      <c r="AR49" s="568"/>
      <c r="AS49" s="68">
        <f>AM$49*AR49</f>
        <v>0</v>
      </c>
      <c r="AT49" s="69">
        <f>$J$49*AR49</f>
        <v>0</v>
      </c>
      <c r="AU49" s="568"/>
      <c r="AV49" s="68">
        <f>AP$49*AU49</f>
        <v>0</v>
      </c>
      <c r="AW49" s="69">
        <f>$J$49*AU49</f>
        <v>0</v>
      </c>
      <c r="AX49" s="568"/>
      <c r="AY49" s="68">
        <f>AS$49*AX49</f>
        <v>0</v>
      </c>
      <c r="AZ49" s="69">
        <f>$J$49*AX49</f>
        <v>0</v>
      </c>
      <c r="BA49" s="568"/>
      <c r="BB49" s="68">
        <f>AV$49*BA49</f>
        <v>0</v>
      </c>
      <c r="BC49" s="69">
        <f>$J$49*BA49</f>
        <v>0</v>
      </c>
      <c r="BD49" s="568"/>
      <c r="BE49" s="68">
        <f>AY$49*BD49</f>
        <v>0</v>
      </c>
      <c r="BF49" s="69">
        <f>$J$49*BD49</f>
        <v>0</v>
      </c>
      <c r="BG49" s="61">
        <f t="shared" si="18"/>
        <v>0</v>
      </c>
      <c r="BH49" s="61">
        <f t="shared" si="19"/>
        <v>0</v>
      </c>
      <c r="BI49" s="61">
        <f t="shared" si="20"/>
        <v>0</v>
      </c>
      <c r="BJ49" s="80">
        <f>VLOOKUP(F49,Floors!B15:F17,5)</f>
        <v>0</v>
      </c>
      <c r="BK49" s="80">
        <f>VLOOKUP(F49,Floors!B15:G17,6)</f>
        <v>0</v>
      </c>
      <c r="BL49" s="38"/>
      <c r="BM49" s="38"/>
      <c r="BN49" s="38"/>
      <c r="BO49" s="38"/>
      <c r="BP49" s="38"/>
      <c r="BQ49" s="38"/>
      <c r="BR49" s="38"/>
      <c r="BS49" s="38"/>
      <c r="BT49" s="38"/>
      <c r="BU49" s="38"/>
      <c r="BV49" s="38"/>
      <c r="BW49" s="38"/>
      <c r="BX49" s="38"/>
      <c r="BY49" s="38"/>
      <c r="BZ49" s="38"/>
      <c r="CA49" s="38"/>
      <c r="CB49" s="38"/>
    </row>
    <row r="50" spans="1:80" ht="12.95" customHeight="1" thickBot="1">
      <c r="A50" s="38"/>
      <c r="B50" s="781">
        <v>12</v>
      </c>
      <c r="C50" s="896" t="s">
        <v>1191</v>
      </c>
      <c r="D50" s="898" t="s">
        <v>2404</v>
      </c>
      <c r="E50" s="899"/>
      <c r="F50" s="266" t="s">
        <v>2356</v>
      </c>
      <c r="G50" s="738" t="s">
        <v>2577</v>
      </c>
      <c r="H50" s="890">
        <v>2785.77</v>
      </c>
      <c r="I50" s="813" t="s">
        <v>2519</v>
      </c>
      <c r="J50" s="814"/>
      <c r="K50" s="811">
        <v>13418.61</v>
      </c>
      <c r="L50" s="744">
        <f>Infil!R16</f>
        <v>6032.5060945599998</v>
      </c>
      <c r="M50" s="809">
        <f>Infil!R17</f>
        <v>343.62376488000001</v>
      </c>
      <c r="N50" s="184" t="s">
        <v>2411</v>
      </c>
      <c r="O50" s="161">
        <f>$L$50*N51</f>
        <v>1041.4133756842498</v>
      </c>
      <c r="P50" s="183"/>
      <c r="Q50" s="184" t="s">
        <v>2411</v>
      </c>
      <c r="R50" s="161">
        <f>$L$50*Q51</f>
        <v>938.73546214047894</v>
      </c>
      <c r="S50" s="183"/>
      <c r="T50" s="184" t="s">
        <v>2411</v>
      </c>
      <c r="U50" s="161">
        <f>$L$50*T51</f>
        <v>785.58643630456004</v>
      </c>
      <c r="V50" s="183"/>
      <c r="W50" s="184" t="s">
        <v>2411</v>
      </c>
      <c r="X50" s="161">
        <f>$L$50*W51</f>
        <v>718.67732857268948</v>
      </c>
      <c r="Y50" s="183"/>
      <c r="Z50" s="184" t="s">
        <v>2411</v>
      </c>
      <c r="AA50" s="161">
        <f>$L$50*Z51</f>
        <v>196.26898488794342</v>
      </c>
      <c r="AB50" s="183"/>
      <c r="AC50" s="184" t="s">
        <v>2411</v>
      </c>
      <c r="AD50" s="161">
        <f>$L$50*AC51</f>
        <v>482.75976255166933</v>
      </c>
      <c r="AE50" s="183"/>
      <c r="AF50" s="184" t="s">
        <v>2411</v>
      </c>
      <c r="AG50" s="161">
        <f>$L$50*AF51</f>
        <v>443.92797622305073</v>
      </c>
      <c r="AH50" s="183"/>
      <c r="AI50" s="184" t="s">
        <v>2411</v>
      </c>
      <c r="AJ50" s="161">
        <f>$L$50*AI51</f>
        <v>1425.1367681953579</v>
      </c>
      <c r="AK50" s="183"/>
      <c r="AL50" s="184" t="s">
        <v>2411</v>
      </c>
      <c r="AM50" s="161">
        <f>$L$50*AL51</f>
        <v>0</v>
      </c>
      <c r="AN50" s="183"/>
      <c r="AO50" s="184" t="s">
        <v>2411</v>
      </c>
      <c r="AP50" s="161">
        <f>$L$50*AO51</f>
        <v>0</v>
      </c>
      <c r="AQ50" s="183"/>
      <c r="AR50" s="184" t="s">
        <v>2411</v>
      </c>
      <c r="AS50" s="161">
        <f>$L$50*AR51</f>
        <v>0</v>
      </c>
      <c r="AT50" s="183"/>
      <c r="AU50" s="184" t="s">
        <v>2411</v>
      </c>
      <c r="AV50" s="161">
        <f>$L$50*AU51</f>
        <v>0</v>
      </c>
      <c r="AW50" s="183"/>
      <c r="AX50" s="184" t="s">
        <v>2411</v>
      </c>
      <c r="AY50" s="161">
        <f>$L$50*AX51</f>
        <v>0</v>
      </c>
      <c r="AZ50" s="183"/>
      <c r="BA50" s="184" t="s">
        <v>2411</v>
      </c>
      <c r="BB50" s="161">
        <f>$L$50*BA51</f>
        <v>0</v>
      </c>
      <c r="BC50" s="183"/>
      <c r="BD50" s="184" t="s">
        <v>2411</v>
      </c>
      <c r="BE50" s="161">
        <f>$L$50*BD51</f>
        <v>0</v>
      </c>
      <c r="BF50" s="183"/>
      <c r="BG50" s="61">
        <f t="shared" si="18"/>
        <v>0</v>
      </c>
      <c r="BH50" s="61">
        <f t="shared" si="19"/>
        <v>6032.5060945599998</v>
      </c>
      <c r="BI50" s="61">
        <f t="shared" si="20"/>
        <v>0</v>
      </c>
      <c r="BJ50" s="38"/>
      <c r="BK50" s="38"/>
      <c r="BL50" s="38"/>
      <c r="BM50" s="38"/>
      <c r="BN50" s="38"/>
      <c r="BO50" s="38"/>
      <c r="BP50" s="38"/>
      <c r="BQ50" s="38"/>
      <c r="BR50" s="38"/>
      <c r="BS50" s="38"/>
      <c r="BT50" s="38"/>
      <c r="BU50" s="38"/>
      <c r="BV50" s="38"/>
      <c r="BW50" s="38"/>
      <c r="BX50" s="38"/>
      <c r="BY50" s="38"/>
      <c r="BZ50" s="38"/>
      <c r="CA50" s="38"/>
      <c r="CB50" s="38"/>
    </row>
    <row r="51" spans="1:80" ht="12.95" customHeight="1" thickBot="1">
      <c r="A51" s="38"/>
      <c r="B51" s="783"/>
      <c r="C51" s="897"/>
      <c r="D51" s="850" t="s">
        <v>2405</v>
      </c>
      <c r="E51" s="851"/>
      <c r="F51" s="267">
        <v>0</v>
      </c>
      <c r="G51" s="739"/>
      <c r="H51" s="891"/>
      <c r="I51" s="815"/>
      <c r="J51" s="816"/>
      <c r="K51" s="812"/>
      <c r="L51" s="746"/>
      <c r="M51" s="810"/>
      <c r="N51" s="185">
        <f>SUM(N29:N33,N26:N28,N10:N21)/$BG$51</f>
        <v>0.17263362180825256</v>
      </c>
      <c r="O51" s="182"/>
      <c r="P51" s="162">
        <f>$M$50*N51</f>
        <v>59.321015070621819</v>
      </c>
      <c r="Q51" s="185">
        <f>SUM(Q29:Q33,Q26:Q28,Q10:Q21)/$BG$51</f>
        <v>0.15561284935741929</v>
      </c>
      <c r="R51" s="182"/>
      <c r="S51" s="162">
        <f>$M$50*Q51</f>
        <v>53.472273159900702</v>
      </c>
      <c r="T51" s="185">
        <f>SUM(T29:T33,T26:T28,T10:T21)/$BG$51</f>
        <v>0.13022555203267627</v>
      </c>
      <c r="U51" s="182"/>
      <c r="V51" s="162">
        <f>$M$50*T51</f>
        <v>44.748594473044562</v>
      </c>
      <c r="W51" s="185">
        <f>SUM(W29:W33,W26:W28,W10:W21)/$BG$51</f>
        <v>0.11913412391257742</v>
      </c>
      <c r="X51" s="182"/>
      <c r="Y51" s="162">
        <f>$M$50*W51</f>
        <v>40.937316184520292</v>
      </c>
      <c r="Z51" s="185">
        <f>SUM(Z29:Z33,Z26:Z28,Z10:Z21)/$BG$51</f>
        <v>3.2535231927065117E-2</v>
      </c>
      <c r="AA51" s="182"/>
      <c r="AB51" s="162">
        <f>$M$50*Z51</f>
        <v>11.179878886022093</v>
      </c>
      <c r="AC51" s="185">
        <f>SUM(AC29:AC33,AC26:AC28,AC10:AC21)/$BG$51</f>
        <v>8.0026402789217729E-2</v>
      </c>
      <c r="AD51" s="182"/>
      <c r="AE51" s="162">
        <f>$M$50*AC51</f>
        <v>27.498973816234329</v>
      </c>
      <c r="AF51" s="185">
        <f>SUM(AF29:AF33,AF26:AF28,AF10:AF21)/$BG$51</f>
        <v>7.3589312511988442E-2</v>
      </c>
      <c r="AG51" s="182"/>
      <c r="AH51" s="162">
        <f>$M$50*AF51</f>
        <v>25.287036620300359</v>
      </c>
      <c r="AI51" s="185">
        <f>SUM(AI29:AI33,AI26:AI28,AI10:AI21)/$BG$51</f>
        <v>0.23624290566080314</v>
      </c>
      <c r="AJ51" s="182"/>
      <c r="AK51" s="162">
        <f>$M$50*AI51</f>
        <v>81.178676669355838</v>
      </c>
      <c r="AL51" s="185">
        <f>SUM(AL29:AL33,AL26:AL28,AL10:AL21)/$BG$51</f>
        <v>0</v>
      </c>
      <c r="AM51" s="182"/>
      <c r="AN51" s="162">
        <f>$M$50*AL51</f>
        <v>0</v>
      </c>
      <c r="AO51" s="185">
        <f>SUM(AO29:AO33,AO26:AO28,AO10:AO21)/$BG$51</f>
        <v>0</v>
      </c>
      <c r="AP51" s="182"/>
      <c r="AQ51" s="162">
        <f>$M$50*AO51</f>
        <v>0</v>
      </c>
      <c r="AR51" s="185">
        <f>SUM(AR29:AR33,AR26:AR28,AR10:AR21)/$BG$51</f>
        <v>0</v>
      </c>
      <c r="AS51" s="182"/>
      <c r="AT51" s="162">
        <f>$M$50*AR51</f>
        <v>0</v>
      </c>
      <c r="AU51" s="185">
        <f>SUM(AU29:AU33,AU26:AU28,AU10:AU21)/$BG$51</f>
        <v>0</v>
      </c>
      <c r="AV51" s="182"/>
      <c r="AW51" s="162">
        <f>$M$50*AU51</f>
        <v>0</v>
      </c>
      <c r="AX51" s="185">
        <f>SUM(AX29:AX33,AX26:AX28,AX10:AX21)/$BG$51</f>
        <v>0</v>
      </c>
      <c r="AY51" s="182"/>
      <c r="AZ51" s="162">
        <f>$M$50*AX51</f>
        <v>0</v>
      </c>
      <c r="BA51" s="185">
        <f>SUM(BA29:BA33,BA26:BA28,BA10:BA21)/$BG$51</f>
        <v>0</v>
      </c>
      <c r="BB51" s="182"/>
      <c r="BC51" s="162">
        <f>$M$50*BA51</f>
        <v>0</v>
      </c>
      <c r="BD51" s="185">
        <f>SUM(BD29:BD33,BD26:BD28,BD10:BD21)/$BG$51</f>
        <v>0</v>
      </c>
      <c r="BE51" s="182"/>
      <c r="BF51" s="162">
        <f>$M$50*BD51</f>
        <v>0</v>
      </c>
      <c r="BG51" s="61">
        <f>SUM(BG29:BG33,BG26:BG28,BG10:BG21)</f>
        <v>1772.54</v>
      </c>
      <c r="BH51" s="61">
        <f t="shared" si="19"/>
        <v>0</v>
      </c>
      <c r="BI51" s="61">
        <f t="shared" si="20"/>
        <v>343.62376487999995</v>
      </c>
      <c r="BJ51" s="38"/>
      <c r="BK51" s="38"/>
      <c r="BL51" s="38"/>
      <c r="BM51" s="38"/>
      <c r="BN51" s="38"/>
      <c r="BO51" s="38"/>
      <c r="BP51" s="38"/>
      <c r="BQ51" s="38"/>
      <c r="BR51" s="38"/>
      <c r="BS51" s="38"/>
      <c r="BT51" s="38"/>
      <c r="BU51" s="38"/>
      <c r="BV51" s="38"/>
      <c r="BW51" s="38"/>
      <c r="BX51" s="38"/>
      <c r="BY51" s="38"/>
      <c r="BZ51" s="38"/>
      <c r="CA51" s="38"/>
      <c r="CB51" s="38"/>
    </row>
    <row r="52" spans="1:80" ht="12.95" hidden="1" customHeight="1" thickBot="1">
      <c r="A52" s="38"/>
      <c r="B52" s="515"/>
      <c r="C52" s="131"/>
      <c r="D52" s="132"/>
      <c r="E52" s="133"/>
      <c r="F52" s="132"/>
      <c r="G52" s="132"/>
      <c r="H52" s="573"/>
      <c r="I52" s="132"/>
      <c r="J52" s="133"/>
      <c r="K52" s="132"/>
      <c r="L52" s="133"/>
      <c r="M52" s="261"/>
      <c r="N52" s="252"/>
      <c r="O52" s="138">
        <f>SUM(O10:O51)</f>
        <v>5578.4410456842488</v>
      </c>
      <c r="P52" s="138">
        <f>SUM(P10:P51)</f>
        <v>1329.7577030706216</v>
      </c>
      <c r="Q52" s="141"/>
      <c r="R52" s="138">
        <f>SUM(R10:R51)</f>
        <v>5835.0369621404789</v>
      </c>
      <c r="S52" s="138">
        <f>SUM(S10:S51)</f>
        <v>1314.7958525006072</v>
      </c>
      <c r="T52" s="141"/>
      <c r="U52" s="138">
        <f>SUM(U10:U51)</f>
        <v>3898.3720863045592</v>
      </c>
      <c r="V52" s="138">
        <f>SUM(V10:V51)</f>
        <v>1138.9615688204624</v>
      </c>
      <c r="W52" s="141"/>
      <c r="X52" s="138">
        <f>SUM(X10:X51)</f>
        <v>3073.1941185726887</v>
      </c>
      <c r="Y52" s="138">
        <f>SUM(Y10:Y51)</f>
        <v>671.59573218452033</v>
      </c>
      <c r="Z52" s="141"/>
      <c r="AA52" s="138">
        <f>SUM(AA10:AA51)</f>
        <v>999.77561488794322</v>
      </c>
      <c r="AB52" s="138">
        <f>SUM(AB10:AB51)</f>
        <v>127.69509488602209</v>
      </c>
      <c r="AC52" s="141"/>
      <c r="AD52" s="138">
        <f>SUM(AD10:AD51)</f>
        <v>5723.1852625516685</v>
      </c>
      <c r="AE52" s="138">
        <f>SUM(AE10:AE51)</f>
        <v>3296.0129738162341</v>
      </c>
      <c r="AF52" s="141"/>
      <c r="AG52" s="138">
        <f>SUM(AG10:AG51)</f>
        <v>2947.0271762230504</v>
      </c>
      <c r="AH52" s="138">
        <f>SUM(AH10:AH51)</f>
        <v>949.71004131513632</v>
      </c>
      <c r="AI52" s="141"/>
      <c r="AJ52" s="138">
        <f>SUM(AJ10:AJ51)</f>
        <v>14136.217018195359</v>
      </c>
      <c r="AK52" s="138">
        <f>SUM(AK10:AK51)</f>
        <v>704.23817666935588</v>
      </c>
      <c r="AL52" s="141"/>
      <c r="AM52" s="138">
        <f>SUM(AM10:AM51)</f>
        <v>0</v>
      </c>
      <c r="AN52" s="138">
        <f>SUM(AN10:AN51)</f>
        <v>0</v>
      </c>
      <c r="AO52" s="141"/>
      <c r="AP52" s="138">
        <f>SUM(AP10:AP51)</f>
        <v>0</v>
      </c>
      <c r="AQ52" s="138">
        <f>SUM(AQ10:AQ51)</f>
        <v>0</v>
      </c>
      <c r="AR52" s="141"/>
      <c r="AS52" s="138">
        <f>SUM(AS10:AS51)</f>
        <v>0</v>
      </c>
      <c r="AT52" s="138">
        <f>SUM(AT10:AT51)</f>
        <v>0</v>
      </c>
      <c r="AU52" s="141"/>
      <c r="AV52" s="138">
        <f>SUM(AV10:AV51)</f>
        <v>0</v>
      </c>
      <c r="AW52" s="138">
        <f>SUM(AW10:AW51)</f>
        <v>0</v>
      </c>
      <c r="AX52" s="141"/>
      <c r="AY52" s="138">
        <f>SUM(AY10:AY51)</f>
        <v>0</v>
      </c>
      <c r="AZ52" s="138">
        <f>SUM(AZ10:AZ51)</f>
        <v>0</v>
      </c>
      <c r="BA52" s="141"/>
      <c r="BB52" s="138">
        <f>SUM(BB10:BB51)</f>
        <v>0</v>
      </c>
      <c r="BC52" s="138">
        <f>SUM(BC10:BC51)</f>
        <v>0</v>
      </c>
      <c r="BD52" s="141"/>
      <c r="BE52" s="138">
        <f>SUM(BE10:BE51)</f>
        <v>0</v>
      </c>
      <c r="BF52" s="253">
        <f>SUM(BF10:BF51)</f>
        <v>0</v>
      </c>
      <c r="BG52" s="139"/>
      <c r="BH52" s="61">
        <f>O52+R52+U52+X52+AA52+AD52+AG52+AJ52+AM52+AP52+AS52+AV52+AY52+BB52+BE52</f>
        <v>42191.249284559999</v>
      </c>
      <c r="BI52" s="61">
        <f>P52+S52+V52+Y52+AB52+AE52+AH52+AK52+AN52+AQ52+AT52+AW52+AZ52+BC52+BF52</f>
        <v>9532.7671432629595</v>
      </c>
      <c r="BJ52" s="38"/>
      <c r="BK52" s="38"/>
      <c r="BL52" s="38"/>
      <c r="BM52" s="38"/>
      <c r="BN52" s="38"/>
      <c r="BO52" s="38"/>
      <c r="BP52" s="38"/>
      <c r="BQ52" s="38"/>
      <c r="BR52" s="38"/>
      <c r="BS52" s="38"/>
      <c r="BT52" s="38"/>
      <c r="BU52" s="38"/>
      <c r="BV52" s="38"/>
      <c r="BW52" s="38"/>
      <c r="BX52" s="38"/>
      <c r="BY52" s="38"/>
      <c r="BZ52" s="38"/>
      <c r="CA52" s="38"/>
      <c r="CB52" s="38"/>
    </row>
    <row r="53" spans="1:80" ht="12.95" customHeight="1">
      <c r="A53" s="38"/>
      <c r="B53" s="781">
        <v>13</v>
      </c>
      <c r="C53" s="787" t="s">
        <v>1193</v>
      </c>
      <c r="D53" s="788"/>
      <c r="E53" s="789"/>
      <c r="F53" s="736" t="s">
        <v>2517</v>
      </c>
      <c r="G53" s="737"/>
      <c r="H53" s="574">
        <v>2</v>
      </c>
      <c r="I53" s="817" t="s">
        <v>2518</v>
      </c>
      <c r="J53" s="818"/>
      <c r="K53" s="105">
        <f>IF(H53=0,0,H53+1)</f>
        <v>3</v>
      </c>
      <c r="L53" s="742"/>
      <c r="M53" s="60">
        <f>IF(H53=0,0,IF(BI53&lt;&gt;BJ53,#VALUE!,BJ53))</f>
        <v>690</v>
      </c>
      <c r="N53" s="571"/>
      <c r="O53" s="740"/>
      <c r="P53" s="140">
        <f>N53*230</f>
        <v>0</v>
      </c>
      <c r="Q53" s="238"/>
      <c r="R53" s="740"/>
      <c r="S53" s="140">
        <f>Q53*230</f>
        <v>0</v>
      </c>
      <c r="T53" s="238">
        <v>2</v>
      </c>
      <c r="U53" s="740"/>
      <c r="V53" s="140">
        <f>T53*230</f>
        <v>460</v>
      </c>
      <c r="W53" s="238">
        <v>1</v>
      </c>
      <c r="X53" s="740"/>
      <c r="Y53" s="140">
        <f>W53*230</f>
        <v>230</v>
      </c>
      <c r="Z53" s="238"/>
      <c r="AA53" s="740"/>
      <c r="AB53" s="140">
        <f>Z53*230</f>
        <v>0</v>
      </c>
      <c r="AC53" s="238"/>
      <c r="AD53" s="740"/>
      <c r="AE53" s="140">
        <f>AC53*230</f>
        <v>0</v>
      </c>
      <c r="AF53" s="238"/>
      <c r="AG53" s="740"/>
      <c r="AH53" s="140">
        <f>AF53*230</f>
        <v>0</v>
      </c>
      <c r="AI53" s="238"/>
      <c r="AJ53" s="740"/>
      <c r="AK53" s="140">
        <f>AI53*230</f>
        <v>0</v>
      </c>
      <c r="AL53" s="238"/>
      <c r="AM53" s="740"/>
      <c r="AN53" s="140">
        <f>AL53*230</f>
        <v>0</v>
      </c>
      <c r="AO53" s="238"/>
      <c r="AP53" s="740"/>
      <c r="AQ53" s="140">
        <f>AO53*230</f>
        <v>0</v>
      </c>
      <c r="AR53" s="238"/>
      <c r="AS53" s="740"/>
      <c r="AT53" s="140">
        <f>AR53*230</f>
        <v>0</v>
      </c>
      <c r="AU53" s="238"/>
      <c r="AV53" s="740"/>
      <c r="AW53" s="140">
        <f>AU53*230</f>
        <v>0</v>
      </c>
      <c r="AX53" s="238"/>
      <c r="AY53" s="740"/>
      <c r="AZ53" s="140">
        <f>AX53*230</f>
        <v>0</v>
      </c>
      <c r="BA53" s="238"/>
      <c r="BB53" s="740"/>
      <c r="BC53" s="140">
        <f>BA53*230</f>
        <v>0</v>
      </c>
      <c r="BD53" s="238"/>
      <c r="BE53" s="740"/>
      <c r="BF53" s="140">
        <f>BD53*230</f>
        <v>0</v>
      </c>
      <c r="BG53" s="61">
        <f>N53+Q53+T53+W53+Z53+AC53+AF53+AI53+AL53+AO53+AR53+AU53+AX53+BA53+BD53</f>
        <v>3</v>
      </c>
      <c r="BH53" s="37"/>
      <c r="BI53" s="61">
        <f>P53+S53+V53+Y53+AB53+AE53+AH53+AK53+AN53+AQ53+AT53+AW53+AZ53+BC53+BF53</f>
        <v>690</v>
      </c>
      <c r="BJ53" s="37">
        <f>(H53+1)*230</f>
        <v>690</v>
      </c>
      <c r="BK53" s="496"/>
      <c r="BL53" s="38"/>
      <c r="BM53" s="38"/>
      <c r="BN53" s="38"/>
      <c r="BO53" s="38"/>
      <c r="BP53" s="38"/>
      <c r="BQ53" s="38"/>
      <c r="BR53" s="38"/>
      <c r="BS53" s="38"/>
      <c r="BT53" s="38"/>
      <c r="BU53" s="38"/>
      <c r="BV53" s="38"/>
      <c r="BW53" s="38"/>
      <c r="BX53" s="38"/>
      <c r="BY53" s="38"/>
      <c r="BZ53" s="38"/>
      <c r="CA53" s="38"/>
      <c r="CB53" s="38"/>
    </row>
    <row r="54" spans="1:80" ht="12.95" customHeight="1" thickBot="1">
      <c r="A54" s="38"/>
      <c r="B54" s="783"/>
      <c r="C54" s="793"/>
      <c r="D54" s="794"/>
      <c r="E54" s="795"/>
      <c r="F54" s="727" t="s">
        <v>1226</v>
      </c>
      <c r="G54" s="728"/>
      <c r="H54" s="729"/>
      <c r="I54" s="733"/>
      <c r="J54" s="734"/>
      <c r="K54" s="735"/>
      <c r="L54" s="743"/>
      <c r="M54" s="103">
        <f>IF(BI54&lt;&gt;BJ54,#VALUE!,BJ54)</f>
        <v>1200</v>
      </c>
      <c r="N54" s="498"/>
      <c r="O54" s="741"/>
      <c r="P54" s="572"/>
      <c r="Q54" s="498"/>
      <c r="R54" s="741"/>
      <c r="S54" s="564">
        <v>1200</v>
      </c>
      <c r="T54" s="498"/>
      <c r="U54" s="741"/>
      <c r="V54" s="564"/>
      <c r="W54" s="498"/>
      <c r="X54" s="741"/>
      <c r="Y54" s="564"/>
      <c r="Z54" s="498"/>
      <c r="AA54" s="741"/>
      <c r="AB54" s="564"/>
      <c r="AC54" s="498"/>
      <c r="AD54" s="741"/>
      <c r="AE54" s="564"/>
      <c r="AF54" s="498"/>
      <c r="AG54" s="741"/>
      <c r="AH54" s="564"/>
      <c r="AI54" s="498"/>
      <c r="AJ54" s="741"/>
      <c r="AK54" s="564"/>
      <c r="AL54" s="498"/>
      <c r="AM54" s="741"/>
      <c r="AN54" s="564"/>
      <c r="AO54" s="498"/>
      <c r="AP54" s="741"/>
      <c r="AQ54" s="564"/>
      <c r="AR54" s="498"/>
      <c r="AS54" s="741"/>
      <c r="AT54" s="564" t="str">
        <f>IF(AR54="","",$BK$54*AR54)</f>
        <v/>
      </c>
      <c r="AU54" s="498"/>
      <c r="AV54" s="741"/>
      <c r="AW54" s="564"/>
      <c r="AX54" s="498"/>
      <c r="AY54" s="741"/>
      <c r="AZ54" s="564" t="str">
        <f>IF(AX54="","",$BK$54*AX54)</f>
        <v/>
      </c>
      <c r="BA54" s="498"/>
      <c r="BB54" s="741"/>
      <c r="BC54" s="564" t="str">
        <f>IF(BA54="","",$BK$54*BA54)</f>
        <v/>
      </c>
      <c r="BD54" s="498"/>
      <c r="BE54" s="741"/>
      <c r="BF54" s="564" t="str">
        <f>IF(BD54="","",$BK$54*BD54)</f>
        <v/>
      </c>
      <c r="BG54" s="61">
        <f>N54+Q54+T54+W54+Z54+AC54+AF54+AI54+AL54+AO54+AR54+AU54+AX54+BA54+BD54</f>
        <v>0</v>
      </c>
      <c r="BH54" s="61">
        <f>O54+R54+U54+X54+AA54+AD54+AG54+AJ54+AM54+AP54+AS54+AV54+AY54+BB54+BE54</f>
        <v>0</v>
      </c>
      <c r="BI54" s="61">
        <f>P54+S54+V54+Y54+AB54+AE54+AH54+AK54+AN54+AQ54+AT54+AW54+AZ54+BC54+BF54</f>
        <v>1200</v>
      </c>
      <c r="BJ54" s="37">
        <f>Appliances!C1</f>
        <v>1200</v>
      </c>
      <c r="BK54" s="37">
        <f>BH54*BJ54</f>
        <v>0</v>
      </c>
      <c r="BL54" s="38"/>
      <c r="BM54" s="38"/>
      <c r="BN54" s="38"/>
      <c r="BO54" s="38"/>
      <c r="BP54" s="38"/>
      <c r="BQ54" s="38"/>
      <c r="BR54" s="38"/>
      <c r="BS54" s="38"/>
      <c r="BT54" s="38"/>
      <c r="BU54" s="38"/>
      <c r="BV54" s="38"/>
      <c r="BW54" s="38"/>
      <c r="BX54" s="38"/>
      <c r="BY54" s="38"/>
      <c r="BZ54" s="38"/>
      <c r="CA54" s="38"/>
      <c r="CB54" s="38"/>
    </row>
    <row r="55" spans="1:80" ht="12.95" customHeight="1" thickBot="1">
      <c r="A55" s="38"/>
      <c r="B55" s="516">
        <v>14</v>
      </c>
      <c r="C55" s="730" t="s">
        <v>1192</v>
      </c>
      <c r="D55" s="731"/>
      <c r="E55" s="731"/>
      <c r="F55" s="731"/>
      <c r="G55" s="731"/>
      <c r="H55" s="731"/>
      <c r="I55" s="731"/>
      <c r="J55" s="731"/>
      <c r="K55" s="732"/>
      <c r="L55" s="272">
        <f>SUM(L10:L54)</f>
        <v>42191.249284559992</v>
      </c>
      <c r="M55" s="273">
        <f>SUM(M10:M54)</f>
        <v>11422.767143262961</v>
      </c>
      <c r="N55" s="254"/>
      <c r="O55" s="241">
        <f>SUM(O10:O50)</f>
        <v>5578.4410456842488</v>
      </c>
      <c r="P55" s="241">
        <f>SUM(P10:P50)+P51+P53+P54</f>
        <v>1329.7577030706216</v>
      </c>
      <c r="Q55" s="134"/>
      <c r="R55" s="241">
        <f>SUM(R10:R50)</f>
        <v>5835.0369621404789</v>
      </c>
      <c r="S55" s="241">
        <f>SUM(S10:S50)+S51+S53+S54</f>
        <v>2514.795852500607</v>
      </c>
      <c r="T55" s="134"/>
      <c r="U55" s="241">
        <f>SUM(U10:U50)</f>
        <v>3898.3720863045592</v>
      </c>
      <c r="V55" s="241">
        <f>SUM(V10:V50)+V51+V53+V54</f>
        <v>1598.9615688204624</v>
      </c>
      <c r="W55" s="38"/>
      <c r="X55" s="241">
        <f>SUM(X10:X50)</f>
        <v>3073.1941185726887</v>
      </c>
      <c r="Y55" s="241">
        <f>SUM(Y10:Y50)+Y51+Y53+Y54</f>
        <v>901.59573218452033</v>
      </c>
      <c r="Z55" s="38"/>
      <c r="AA55" s="241">
        <f>SUM(AA10:AA50)</f>
        <v>999.77561488794322</v>
      </c>
      <c r="AB55" s="241">
        <f>SUM(AB10:AB50)+AB51+AB53+AB54</f>
        <v>127.69509488602209</v>
      </c>
      <c r="AC55" s="38"/>
      <c r="AD55" s="241">
        <f>SUM(AD10:AD50)</f>
        <v>5723.1852625516685</v>
      </c>
      <c r="AE55" s="241">
        <f>SUM(AE10:AE50)+AE51+AE53+AE54</f>
        <v>3296.0129738162341</v>
      </c>
      <c r="AF55" s="38"/>
      <c r="AG55" s="241">
        <f>SUM(AG10:AG50)</f>
        <v>2947.0271762230504</v>
      </c>
      <c r="AH55" s="241">
        <f>SUM(AH10:AH50)+AH51+AH53+AH54</f>
        <v>949.71004131513632</v>
      </c>
      <c r="AI55" s="38"/>
      <c r="AJ55" s="241">
        <f>SUM(AJ10:AJ50)</f>
        <v>14136.217018195359</v>
      </c>
      <c r="AK55" s="241">
        <f>SUM(AK10:AK50)+AK51+AK53+AK54</f>
        <v>704.23817666935588</v>
      </c>
      <c r="AL55" s="38"/>
      <c r="AM55" s="241">
        <f>SUM(AM10:AM50)</f>
        <v>0</v>
      </c>
      <c r="AN55" s="241">
        <f>SUM(AN10:AN50)+AN51+AN53+AN54</f>
        <v>0</v>
      </c>
      <c r="AO55" s="38"/>
      <c r="AP55" s="241">
        <f>SUM(AP10:AP50)</f>
        <v>0</v>
      </c>
      <c r="AQ55" s="241">
        <f>SUM(AQ10:AQ50)+AQ51+AQ53+AQ54</f>
        <v>0</v>
      </c>
      <c r="AR55" s="38"/>
      <c r="AS55" s="241">
        <f>SUM(AS10:AS50)</f>
        <v>0</v>
      </c>
      <c r="AT55" s="241">
        <f>SUM(AT10:AT50)+AT51+AT53+AT54</f>
        <v>0</v>
      </c>
      <c r="AU55" s="38"/>
      <c r="AV55" s="241">
        <f>SUM(AV10:AV50)</f>
        <v>0</v>
      </c>
      <c r="AW55" s="241">
        <f>SUM(AW10:AW50)+AW51+AW53+AW54</f>
        <v>0</v>
      </c>
      <c r="AX55" s="38"/>
      <c r="AY55" s="241">
        <f>SUM(AY10:AY50)</f>
        <v>0</v>
      </c>
      <c r="AZ55" s="241">
        <f>SUM(AZ10:AZ50)+AZ51+AZ53+AZ54</f>
        <v>0</v>
      </c>
      <c r="BA55" s="38"/>
      <c r="BB55" s="241">
        <f>SUM(BB10:BB50)</f>
        <v>0</v>
      </c>
      <c r="BC55" s="241">
        <f>SUM(BC10:BC50)+BC51+BC53+BC54</f>
        <v>0</v>
      </c>
      <c r="BD55" s="38"/>
      <c r="BE55" s="241">
        <f>SUM(BE10:BE50)</f>
        <v>0</v>
      </c>
      <c r="BF55" s="241">
        <f>SUM(BF10:BF50)+BF51+BF53+BF54</f>
        <v>0</v>
      </c>
      <c r="BG55" s="37"/>
      <c r="BH55" s="37"/>
      <c r="BI55" s="37"/>
      <c r="BJ55" s="204"/>
      <c r="BK55" s="65"/>
      <c r="BL55" s="65"/>
      <c r="BM55" s="38"/>
      <c r="BN55" s="38"/>
      <c r="BO55" s="38"/>
      <c r="BP55" s="38"/>
      <c r="BQ55" s="38"/>
      <c r="BR55" s="38"/>
      <c r="BS55" s="38"/>
      <c r="BT55" s="38"/>
      <c r="BU55" s="38"/>
      <c r="BV55" s="38"/>
      <c r="BW55" s="38"/>
      <c r="BX55" s="38"/>
      <c r="BY55" s="38"/>
      <c r="BZ55" s="38"/>
      <c r="CA55" s="38"/>
      <c r="CB55" s="38"/>
    </row>
    <row r="56" spans="1:80" ht="12.95" customHeight="1">
      <c r="A56" s="38"/>
      <c r="B56" s="781">
        <v>15</v>
      </c>
      <c r="C56" s="787" t="s">
        <v>2238</v>
      </c>
      <c r="D56" s="788"/>
      <c r="E56" s="789"/>
      <c r="F56" s="784" t="s">
        <v>2222</v>
      </c>
      <c r="G56" s="785"/>
      <c r="H56" s="785"/>
      <c r="I56" s="785"/>
      <c r="J56" s="786"/>
      <c r="K56" s="130"/>
      <c r="L56" s="744">
        <f>L55*I57</f>
        <v>0</v>
      </c>
      <c r="M56" s="809">
        <f>J57*M55</f>
        <v>0</v>
      </c>
      <c r="N56" s="255"/>
      <c r="O56" s="721">
        <f>O55*$I$57</f>
        <v>0</v>
      </c>
      <c r="P56" s="721">
        <f>P55*$J$57</f>
        <v>0</v>
      </c>
      <c r="Q56" s="135"/>
      <c r="R56" s="721">
        <f>R55*$I$57</f>
        <v>0</v>
      </c>
      <c r="S56" s="721">
        <f>S55*$J$57</f>
        <v>0</v>
      </c>
      <c r="T56" s="135"/>
      <c r="U56" s="721">
        <f>U55*$I$57</f>
        <v>0</v>
      </c>
      <c r="V56" s="721">
        <f>V55*$J$57</f>
        <v>0</v>
      </c>
      <c r="W56" s="38"/>
      <c r="X56" s="721">
        <f>X55*$I$57</f>
        <v>0</v>
      </c>
      <c r="Y56" s="721">
        <f>Y55*$J$57</f>
        <v>0</v>
      </c>
      <c r="Z56" s="38"/>
      <c r="AA56" s="721">
        <f>AA55*$I$57</f>
        <v>0</v>
      </c>
      <c r="AB56" s="721">
        <f>AB55*$J$57</f>
        <v>0</v>
      </c>
      <c r="AC56" s="38"/>
      <c r="AD56" s="721">
        <f>AD55*$I$57</f>
        <v>0</v>
      </c>
      <c r="AE56" s="721">
        <f>AE55*$J$57</f>
        <v>0</v>
      </c>
      <c r="AF56" s="38"/>
      <c r="AG56" s="721">
        <f>AG55*$I$57</f>
        <v>0</v>
      </c>
      <c r="AH56" s="721">
        <f>AH55*$J$57</f>
        <v>0</v>
      </c>
      <c r="AI56" s="38"/>
      <c r="AJ56" s="721">
        <f>AJ55*$I$57</f>
        <v>0</v>
      </c>
      <c r="AK56" s="721">
        <f>AK55*$J$57</f>
        <v>0</v>
      </c>
      <c r="AL56" s="38"/>
      <c r="AM56" s="721">
        <f>AM55*$I$57</f>
        <v>0</v>
      </c>
      <c r="AN56" s="721">
        <f>AN55*$J$57</f>
        <v>0</v>
      </c>
      <c r="AO56" s="38"/>
      <c r="AP56" s="721">
        <f>AP55*$I$57</f>
        <v>0</v>
      </c>
      <c r="AQ56" s="721">
        <f>AQ55*$J$57</f>
        <v>0</v>
      </c>
      <c r="AR56" s="38"/>
      <c r="AS56" s="721">
        <f>AS55*$I$57</f>
        <v>0</v>
      </c>
      <c r="AT56" s="721">
        <f>AT55*$J$57</f>
        <v>0</v>
      </c>
      <c r="AU56" s="38"/>
      <c r="AV56" s="721">
        <f>AV55*$I$57</f>
        <v>0</v>
      </c>
      <c r="AW56" s="721">
        <f>AW55*$J$57</f>
        <v>0</v>
      </c>
      <c r="AX56" s="38"/>
      <c r="AY56" s="721">
        <f>AY55*$I$57</f>
        <v>0</v>
      </c>
      <c r="AZ56" s="721">
        <f>AZ55*$J$57</f>
        <v>0</v>
      </c>
      <c r="BA56" s="38"/>
      <c r="BB56" s="721">
        <f>BB55*$I$57</f>
        <v>0</v>
      </c>
      <c r="BC56" s="721">
        <f>BC55*$J$57</f>
        <v>0</v>
      </c>
      <c r="BD56" s="38"/>
      <c r="BE56" s="721">
        <f>BE55*$I$57</f>
        <v>0</v>
      </c>
      <c r="BF56" s="721">
        <f>BF55*$J$57</f>
        <v>0</v>
      </c>
      <c r="BG56" s="37"/>
      <c r="BH56" s="37"/>
      <c r="BI56" s="37"/>
      <c r="BJ56" s="165"/>
      <c r="BK56" s="166"/>
      <c r="BL56" s="166"/>
      <c r="BM56" s="38"/>
      <c r="BN56" s="38"/>
      <c r="BO56" s="38"/>
      <c r="BP56" s="38"/>
      <c r="BQ56" s="38"/>
      <c r="BR56" s="38"/>
      <c r="BS56" s="38"/>
      <c r="BT56" s="38"/>
      <c r="BU56" s="38"/>
      <c r="BV56" s="38"/>
      <c r="BW56" s="38"/>
      <c r="BX56" s="38"/>
      <c r="BY56" s="38"/>
      <c r="BZ56" s="38"/>
      <c r="CA56" s="38"/>
      <c r="CB56" s="38"/>
    </row>
    <row r="57" spans="1:80" ht="12.95" customHeight="1">
      <c r="A57" s="38"/>
      <c r="B57" s="782"/>
      <c r="C57" s="790"/>
      <c r="D57" s="791"/>
      <c r="E57" s="792"/>
      <c r="F57" s="239" t="s">
        <v>1367</v>
      </c>
      <c r="G57" s="724" t="s">
        <v>1324</v>
      </c>
      <c r="H57" s="726"/>
      <c r="I57" s="677">
        <f>IF(BG57=TRUE,Ducts!AM27,0)</f>
        <v>0</v>
      </c>
      <c r="J57" s="677">
        <f>IF(BH57=TRUE,Ducts!AM28,0)</f>
        <v>0</v>
      </c>
      <c r="K57" s="169"/>
      <c r="L57" s="745"/>
      <c r="M57" s="829"/>
      <c r="N57" s="255"/>
      <c r="O57" s="722"/>
      <c r="P57" s="722"/>
      <c r="Q57" s="135"/>
      <c r="R57" s="722"/>
      <c r="S57" s="722"/>
      <c r="T57" s="135"/>
      <c r="U57" s="722"/>
      <c r="V57" s="722"/>
      <c r="W57" s="38"/>
      <c r="X57" s="722"/>
      <c r="Y57" s="722"/>
      <c r="Z57" s="38"/>
      <c r="AA57" s="722"/>
      <c r="AB57" s="722"/>
      <c r="AC57" s="38"/>
      <c r="AD57" s="722"/>
      <c r="AE57" s="722"/>
      <c r="AF57" s="38"/>
      <c r="AG57" s="722"/>
      <c r="AH57" s="722"/>
      <c r="AI57" s="38"/>
      <c r="AJ57" s="722"/>
      <c r="AK57" s="722"/>
      <c r="AL57" s="38"/>
      <c r="AM57" s="722"/>
      <c r="AN57" s="722"/>
      <c r="AO57" s="38"/>
      <c r="AP57" s="722"/>
      <c r="AQ57" s="722"/>
      <c r="AR57" s="38"/>
      <c r="AS57" s="722"/>
      <c r="AT57" s="722"/>
      <c r="AU57" s="38"/>
      <c r="AV57" s="722"/>
      <c r="AW57" s="722"/>
      <c r="AX57" s="38"/>
      <c r="AY57" s="722"/>
      <c r="AZ57" s="722"/>
      <c r="BA57" s="38"/>
      <c r="BB57" s="722"/>
      <c r="BC57" s="722"/>
      <c r="BD57" s="38"/>
      <c r="BE57" s="722"/>
      <c r="BF57" s="722"/>
      <c r="BG57" s="598" t="b">
        <v>1</v>
      </c>
      <c r="BH57" s="598" t="b">
        <v>1</v>
      </c>
      <c r="BI57" s="37"/>
      <c r="BJ57" s="165"/>
      <c r="BK57" s="166"/>
      <c r="BL57" s="166"/>
      <c r="BM57" s="38"/>
      <c r="BN57" s="38"/>
      <c r="BO57" s="38"/>
      <c r="BP57" s="38"/>
      <c r="BQ57" s="38"/>
      <c r="BR57" s="38"/>
      <c r="BS57" s="38"/>
      <c r="BT57" s="38"/>
      <c r="BU57" s="38"/>
      <c r="BV57" s="38"/>
      <c r="BW57" s="38"/>
      <c r="BX57" s="38"/>
      <c r="BY57" s="38"/>
      <c r="BZ57" s="38"/>
      <c r="CA57" s="38"/>
      <c r="CB57" s="38"/>
    </row>
    <row r="58" spans="1:80" ht="12.95" customHeight="1" thickBot="1">
      <c r="A58" s="38"/>
      <c r="B58" s="783"/>
      <c r="C58" s="793"/>
      <c r="D58" s="794"/>
      <c r="E58" s="795"/>
      <c r="F58" s="796" t="s">
        <v>2595</v>
      </c>
      <c r="G58" s="797"/>
      <c r="H58" s="168" t="s">
        <v>2456</v>
      </c>
      <c r="I58" s="575">
        <v>0</v>
      </c>
      <c r="J58" s="167" t="s">
        <v>2457</v>
      </c>
      <c r="K58" s="575">
        <v>0</v>
      </c>
      <c r="L58" s="746"/>
      <c r="M58" s="810"/>
      <c r="N58" s="255"/>
      <c r="O58" s="723"/>
      <c r="P58" s="723"/>
      <c r="Q58" s="135"/>
      <c r="R58" s="723"/>
      <c r="S58" s="723"/>
      <c r="T58" s="135"/>
      <c r="U58" s="723"/>
      <c r="V58" s="723"/>
      <c r="W58" s="38"/>
      <c r="X58" s="723"/>
      <c r="Y58" s="723"/>
      <c r="Z58" s="38"/>
      <c r="AA58" s="723"/>
      <c r="AB58" s="723"/>
      <c r="AC58" s="38"/>
      <c r="AD58" s="723"/>
      <c r="AE58" s="723"/>
      <c r="AF58" s="38"/>
      <c r="AG58" s="723"/>
      <c r="AH58" s="723"/>
      <c r="AI58" s="38"/>
      <c r="AJ58" s="723"/>
      <c r="AK58" s="723"/>
      <c r="AL58" s="38"/>
      <c r="AM58" s="723"/>
      <c r="AN58" s="723"/>
      <c r="AO58" s="38"/>
      <c r="AP58" s="723"/>
      <c r="AQ58" s="723"/>
      <c r="AR58" s="38"/>
      <c r="AS58" s="723"/>
      <c r="AT58" s="723"/>
      <c r="AU58" s="38"/>
      <c r="AV58" s="723"/>
      <c r="AW58" s="723"/>
      <c r="AX58" s="38"/>
      <c r="AY58" s="723"/>
      <c r="AZ58" s="723"/>
      <c r="BA58" s="38"/>
      <c r="BB58" s="723"/>
      <c r="BC58" s="723"/>
      <c r="BD58" s="38"/>
      <c r="BE58" s="723"/>
      <c r="BF58" s="723"/>
      <c r="BG58" s="37"/>
      <c r="BH58" s="37"/>
      <c r="BI58" s="37"/>
      <c r="BJ58" s="165"/>
      <c r="BK58" s="166"/>
      <c r="BL58" s="166"/>
      <c r="BM58" s="38"/>
      <c r="BN58" s="38"/>
      <c r="BO58" s="38"/>
      <c r="BP58" s="38"/>
      <c r="BQ58" s="38"/>
      <c r="BR58" s="38"/>
      <c r="BS58" s="38"/>
      <c r="BT58" s="38"/>
      <c r="BU58" s="38"/>
      <c r="BV58" s="38"/>
      <c r="BW58" s="38"/>
      <c r="BX58" s="38"/>
      <c r="BY58" s="38"/>
      <c r="BZ58" s="38"/>
      <c r="CA58" s="38"/>
      <c r="CB58" s="38"/>
    </row>
    <row r="59" spans="1:80" ht="12.95" customHeight="1" thickBot="1">
      <c r="A59" s="38"/>
      <c r="B59" s="517">
        <v>16</v>
      </c>
      <c r="C59" s="249" t="s">
        <v>1202</v>
      </c>
      <c r="D59" s="798" t="s">
        <v>2472</v>
      </c>
      <c r="E59" s="799"/>
      <c r="F59" s="799"/>
      <c r="G59" s="799"/>
      <c r="H59" s="800"/>
      <c r="I59" s="801" t="s">
        <v>1303</v>
      </c>
      <c r="J59" s="802"/>
      <c r="K59" s="250">
        <f>VLOOKUP(I59,Infil!P23:Q26,2)</f>
        <v>0</v>
      </c>
      <c r="L59" s="107">
        <f>1.1*K59*K4*K7</f>
        <v>0</v>
      </c>
      <c r="M59" s="108">
        <f>1.1*K59*K5*K7</f>
        <v>0</v>
      </c>
      <c r="N59" s="255"/>
      <c r="O59" s="38"/>
      <c r="P59" s="38"/>
      <c r="Q59" s="38"/>
      <c r="R59" s="38"/>
      <c r="S59" s="38"/>
      <c r="T59" s="38"/>
      <c r="U59" s="38"/>
      <c r="V59" s="38"/>
      <c r="W59" s="38"/>
      <c r="X59" s="38"/>
      <c r="Y59" s="38"/>
      <c r="Z59" s="38"/>
      <c r="AA59" s="38"/>
      <c r="AB59" s="38"/>
      <c r="AC59" s="38"/>
      <c r="AD59" s="38"/>
      <c r="AE59" s="38"/>
      <c r="AF59" s="38"/>
      <c r="AG59" s="38"/>
      <c r="AH59" s="38"/>
      <c r="AI59" s="38"/>
      <c r="AJ59" s="38"/>
      <c r="AK59" s="38"/>
      <c r="AL59" s="38"/>
      <c r="AM59" s="38"/>
      <c r="AN59" s="38"/>
      <c r="AO59" s="38"/>
      <c r="AP59" s="38"/>
      <c r="AQ59" s="38"/>
      <c r="AR59" s="38"/>
      <c r="AS59" s="38"/>
      <c r="AT59" s="38"/>
      <c r="AU59" s="38"/>
      <c r="AV59" s="38"/>
      <c r="AW59" s="38"/>
      <c r="AX59" s="38"/>
      <c r="AY59" s="38"/>
      <c r="AZ59" s="38"/>
      <c r="BA59" s="38"/>
      <c r="BB59" s="38"/>
      <c r="BC59" s="38"/>
      <c r="BD59" s="38"/>
      <c r="BE59" s="38"/>
      <c r="BF59" s="256"/>
      <c r="BG59" s="599" t="b">
        <v>0</v>
      </c>
      <c r="BH59" s="598" t="b">
        <v>0</v>
      </c>
      <c r="BI59" s="37"/>
      <c r="BJ59" s="165"/>
      <c r="BK59" s="38"/>
      <c r="BL59" s="38"/>
      <c r="BM59" s="38"/>
      <c r="BN59" s="38"/>
      <c r="BO59" s="38"/>
      <c r="BP59" s="38"/>
      <c r="BQ59" s="38"/>
      <c r="BR59" s="38"/>
      <c r="BS59" s="38"/>
      <c r="BT59" s="38"/>
      <c r="BU59" s="38"/>
      <c r="BV59" s="38"/>
      <c r="BW59" s="38"/>
      <c r="BX59" s="38"/>
      <c r="BY59" s="38"/>
      <c r="BZ59" s="38"/>
      <c r="CA59" s="38"/>
      <c r="CB59" s="38"/>
    </row>
    <row r="60" spans="1:80" ht="12.95" customHeight="1" thickBot="1">
      <c r="A60" s="38"/>
      <c r="B60" s="516">
        <v>19</v>
      </c>
      <c r="C60" s="767" t="s">
        <v>1255</v>
      </c>
      <c r="D60" s="768"/>
      <c r="E60" s="769"/>
      <c r="F60" s="762" t="s">
        <v>1238</v>
      </c>
      <c r="G60" s="763"/>
      <c r="H60" s="763"/>
      <c r="I60" s="763"/>
      <c r="J60" s="763"/>
      <c r="K60" s="764"/>
      <c r="L60" s="109"/>
      <c r="M60" s="106">
        <f>VLOOKUP(F60,Blower1,2)</f>
        <v>1707</v>
      </c>
      <c r="N60" s="254"/>
      <c r="O60" s="134"/>
      <c r="P60" s="134"/>
      <c r="Q60" s="134"/>
      <c r="R60" s="134"/>
      <c r="S60" s="134"/>
      <c r="T60" s="134"/>
      <c r="U60" s="134"/>
      <c r="V60" s="38"/>
      <c r="W60" s="38"/>
      <c r="X60" s="38"/>
      <c r="Y60" s="38"/>
      <c r="Z60" s="38"/>
      <c r="AA60" s="38"/>
      <c r="AB60" s="38"/>
      <c r="AC60" s="38"/>
      <c r="AD60" s="38"/>
      <c r="AE60" s="38"/>
      <c r="AF60" s="38"/>
      <c r="AG60" s="38"/>
      <c r="AH60" s="38"/>
      <c r="AI60" s="38"/>
      <c r="AJ60" s="38"/>
      <c r="AK60" s="38"/>
      <c r="AL60" s="38"/>
      <c r="AM60" s="38"/>
      <c r="AN60" s="38"/>
      <c r="AO60" s="38"/>
      <c r="AP60" s="38"/>
      <c r="AQ60" s="38"/>
      <c r="AR60" s="38"/>
      <c r="AS60" s="38"/>
      <c r="AT60" s="38"/>
      <c r="AU60" s="38"/>
      <c r="AV60" s="38"/>
      <c r="AW60" s="38"/>
      <c r="AX60" s="38"/>
      <c r="AY60" s="38"/>
      <c r="AZ60" s="38"/>
      <c r="BA60" s="38"/>
      <c r="BB60" s="38"/>
      <c r="BC60" s="38"/>
      <c r="BD60" s="38"/>
      <c r="BE60" s="38"/>
      <c r="BF60" s="256"/>
      <c r="BG60" s="37"/>
      <c r="BH60" s="37"/>
      <c r="BI60" s="37"/>
      <c r="BJ60" s="38"/>
      <c r="BK60" s="38"/>
      <c r="BL60" s="38"/>
      <c r="BM60" s="38"/>
      <c r="BN60" s="38"/>
      <c r="BO60" s="38"/>
      <c r="BP60" s="38"/>
      <c r="BQ60" s="38"/>
      <c r="BR60" s="38"/>
      <c r="BS60" s="38"/>
      <c r="BT60" s="38"/>
      <c r="BU60" s="38"/>
      <c r="BV60" s="38"/>
      <c r="BW60" s="38"/>
      <c r="BX60" s="38"/>
      <c r="BY60" s="38"/>
      <c r="BZ60" s="38"/>
      <c r="CA60" s="38"/>
      <c r="CB60" s="38"/>
    </row>
    <row r="61" spans="1:80" ht="12.95" customHeight="1" thickBot="1">
      <c r="A61" s="38"/>
      <c r="B61" s="514">
        <v>20</v>
      </c>
      <c r="C61" s="730" t="s">
        <v>1311</v>
      </c>
      <c r="D61" s="731"/>
      <c r="E61" s="731"/>
      <c r="F61" s="731"/>
      <c r="G61" s="731"/>
      <c r="H61" s="731"/>
      <c r="I61" s="731"/>
      <c r="J61" s="731"/>
      <c r="K61" s="732"/>
      <c r="L61" s="274">
        <f>SUM(L55:L60)</f>
        <v>42191.249284559992</v>
      </c>
      <c r="M61" s="275">
        <f>SUM(M55:M60)</f>
        <v>13129.767143262961</v>
      </c>
      <c r="N61" s="257"/>
      <c r="O61" s="251">
        <f>O55+O56</f>
        <v>5578.4410456842488</v>
      </c>
      <c r="P61" s="251">
        <f>P55+P56</f>
        <v>1329.7577030706216</v>
      </c>
      <c r="Q61" s="258"/>
      <c r="R61" s="251">
        <f>R55+R56</f>
        <v>5835.0369621404789</v>
      </c>
      <c r="S61" s="251">
        <f>S55+S56</f>
        <v>2514.795852500607</v>
      </c>
      <c r="T61" s="258"/>
      <c r="U61" s="251">
        <f>U55+U56</f>
        <v>3898.3720863045592</v>
      </c>
      <c r="V61" s="251">
        <f>V55+V56</f>
        <v>1598.9615688204624</v>
      </c>
      <c r="W61" s="259"/>
      <c r="X61" s="251">
        <f>X55+X56</f>
        <v>3073.1941185726887</v>
      </c>
      <c r="Y61" s="251">
        <f>Y55+Y56</f>
        <v>901.59573218452033</v>
      </c>
      <c r="Z61" s="259"/>
      <c r="AA61" s="251">
        <f>AA55+AA56</f>
        <v>999.77561488794322</v>
      </c>
      <c r="AB61" s="251">
        <f>AB55+AB56</f>
        <v>127.69509488602209</v>
      </c>
      <c r="AC61" s="259"/>
      <c r="AD61" s="251">
        <f>AD55+AD56</f>
        <v>5723.1852625516685</v>
      </c>
      <c r="AE61" s="251">
        <f>AE55+AE56</f>
        <v>3296.0129738162341</v>
      </c>
      <c r="AF61" s="259"/>
      <c r="AG61" s="251">
        <f>AG55+AG56</f>
        <v>2947.0271762230504</v>
      </c>
      <c r="AH61" s="251">
        <f>AH55+AH56</f>
        <v>949.71004131513632</v>
      </c>
      <c r="AI61" s="259"/>
      <c r="AJ61" s="251">
        <f>AJ55+AJ56</f>
        <v>14136.217018195359</v>
      </c>
      <c r="AK61" s="251">
        <f>AK55+AK56</f>
        <v>704.23817666935588</v>
      </c>
      <c r="AL61" s="259"/>
      <c r="AM61" s="251">
        <f>AM55+AM56</f>
        <v>0</v>
      </c>
      <c r="AN61" s="251">
        <f>AN55+AN56</f>
        <v>0</v>
      </c>
      <c r="AO61" s="259"/>
      <c r="AP61" s="251">
        <f>AP55+AP56</f>
        <v>0</v>
      </c>
      <c r="AQ61" s="251">
        <f>AQ55+AQ56</f>
        <v>0</v>
      </c>
      <c r="AR61" s="259"/>
      <c r="AS61" s="251">
        <f>AS55+AS56</f>
        <v>0</v>
      </c>
      <c r="AT61" s="251">
        <f>AT55+AT56</f>
        <v>0</v>
      </c>
      <c r="AU61" s="259"/>
      <c r="AV61" s="251">
        <f>AV55+AV56</f>
        <v>0</v>
      </c>
      <c r="AW61" s="251">
        <f>AW55+AW56</f>
        <v>0</v>
      </c>
      <c r="AX61" s="259"/>
      <c r="AY61" s="251">
        <f>AY55+AY56</f>
        <v>0</v>
      </c>
      <c r="AZ61" s="251">
        <f>AZ55+AZ56</f>
        <v>0</v>
      </c>
      <c r="BA61" s="259"/>
      <c r="BB61" s="251">
        <f>BB55+BB56</f>
        <v>0</v>
      </c>
      <c r="BC61" s="251">
        <f>BC55+BC56</f>
        <v>0</v>
      </c>
      <c r="BD61" s="259"/>
      <c r="BE61" s="251">
        <f>BE55+BE56</f>
        <v>0</v>
      </c>
      <c r="BF61" s="251">
        <f>BF55+BF56</f>
        <v>0</v>
      </c>
      <c r="BG61" s="37"/>
      <c r="BH61" s="37"/>
      <c r="BI61" s="37"/>
      <c r="BJ61" s="38"/>
      <c r="BK61" s="38"/>
      <c r="BL61" s="38"/>
      <c r="BM61" s="38"/>
      <c r="BN61" s="38"/>
      <c r="BO61" s="38"/>
      <c r="BP61" s="38"/>
      <c r="BQ61" s="38"/>
      <c r="BR61" s="38"/>
      <c r="BS61" s="38"/>
      <c r="BT61" s="38"/>
      <c r="BU61" s="38"/>
      <c r="BV61" s="38"/>
      <c r="BW61" s="38"/>
      <c r="BX61" s="38"/>
      <c r="BY61" s="38"/>
      <c r="BZ61" s="38"/>
      <c r="CA61" s="38"/>
      <c r="CB61" s="38"/>
    </row>
    <row r="62" spans="1:80" ht="12.95" customHeight="1">
      <c r="A62" s="38"/>
      <c r="B62" s="753"/>
      <c r="C62" s="754"/>
      <c r="D62" s="754"/>
      <c r="E62" s="754"/>
      <c r="F62" s="754"/>
      <c r="G62" s="755"/>
      <c r="H62" s="750">
        <v>21</v>
      </c>
      <c r="I62" s="774" t="s">
        <v>1364</v>
      </c>
      <c r="J62" s="775"/>
      <c r="K62" s="775"/>
      <c r="L62" s="776"/>
      <c r="M62" s="104">
        <f>IF(H6&lt;0,0,Infil!R18)</f>
        <v>448.44636790400006</v>
      </c>
      <c r="N62" s="135"/>
      <c r="O62" s="135"/>
      <c r="P62" s="135"/>
      <c r="Q62" s="135"/>
      <c r="R62" s="135"/>
      <c r="S62" s="135"/>
      <c r="T62" s="135"/>
      <c r="U62" s="135"/>
      <c r="V62" s="38"/>
      <c r="W62" s="38"/>
      <c r="X62" s="38"/>
      <c r="Y62" s="38"/>
      <c r="Z62" s="38"/>
      <c r="AA62" s="38"/>
      <c r="AB62" s="38"/>
      <c r="AC62" s="38"/>
      <c r="AD62" s="38"/>
      <c r="AE62" s="38"/>
      <c r="AF62" s="38"/>
      <c r="AG62" s="38"/>
      <c r="AH62" s="38"/>
      <c r="AI62" s="38"/>
      <c r="AJ62" s="38"/>
      <c r="AK62" s="38"/>
      <c r="AL62" s="38"/>
      <c r="AM62" s="38"/>
      <c r="AN62" s="38"/>
      <c r="AO62" s="38"/>
      <c r="AP62" s="38"/>
      <c r="AQ62" s="38"/>
      <c r="AR62" s="38"/>
      <c r="AS62" s="38"/>
      <c r="AT62" s="38"/>
      <c r="AU62" s="38"/>
      <c r="AV62" s="38"/>
      <c r="AW62" s="38"/>
      <c r="AX62" s="38"/>
      <c r="AY62" s="38"/>
      <c r="AZ62" s="38"/>
      <c r="BA62" s="38"/>
      <c r="BB62" s="38"/>
      <c r="BC62" s="38"/>
      <c r="BD62" s="38"/>
      <c r="BE62" s="38"/>
      <c r="BF62" s="38"/>
      <c r="BG62" s="37"/>
      <c r="BH62" s="37"/>
      <c r="BI62" s="37"/>
      <c r="BJ62" s="38"/>
      <c r="BK62" s="38"/>
      <c r="BL62" s="38"/>
      <c r="BM62" s="38"/>
      <c r="BN62" s="38"/>
      <c r="BO62" s="38"/>
      <c r="BP62" s="38"/>
      <c r="BQ62" s="38"/>
      <c r="BR62" s="38"/>
      <c r="BS62" s="38"/>
      <c r="BT62" s="38"/>
      <c r="BU62" s="38"/>
      <c r="BV62" s="38"/>
      <c r="BW62" s="38"/>
      <c r="BX62" s="38"/>
      <c r="BY62" s="38"/>
      <c r="BZ62" s="38"/>
      <c r="CA62" s="38"/>
      <c r="CB62" s="38"/>
    </row>
    <row r="63" spans="1:80" ht="12.95" customHeight="1">
      <c r="A63" s="38"/>
      <c r="B63" s="747"/>
      <c r="C63" s="748"/>
      <c r="D63" s="748"/>
      <c r="E63" s="748"/>
      <c r="F63" s="748"/>
      <c r="G63" s="749"/>
      <c r="H63" s="751"/>
      <c r="I63" s="770" t="s">
        <v>1365</v>
      </c>
      <c r="J63" s="771"/>
      <c r="K63" s="772"/>
      <c r="L63" s="773"/>
      <c r="M63" s="110">
        <f>K53*200</f>
        <v>600</v>
      </c>
      <c r="N63" s="135"/>
      <c r="O63" s="135"/>
      <c r="P63" s="135"/>
      <c r="Q63" s="135"/>
      <c r="R63" s="135"/>
      <c r="S63" s="135"/>
      <c r="T63" s="135"/>
      <c r="U63" s="135"/>
      <c r="V63" s="38"/>
      <c r="W63" s="38"/>
      <c r="X63" s="38"/>
      <c r="Y63" s="38"/>
      <c r="Z63" s="38"/>
      <c r="AA63" s="38"/>
      <c r="AB63" s="38"/>
      <c r="AC63" s="38"/>
      <c r="AD63" s="38"/>
      <c r="AE63" s="38"/>
      <c r="AF63" s="38"/>
      <c r="AG63" s="38"/>
      <c r="AH63" s="38"/>
      <c r="AI63" s="38"/>
      <c r="AJ63" s="38"/>
      <c r="AK63" s="38"/>
      <c r="AL63" s="38"/>
      <c r="AM63" s="38"/>
      <c r="AN63" s="38"/>
      <c r="AO63" s="38"/>
      <c r="AP63" s="38"/>
      <c r="AQ63" s="38"/>
      <c r="AR63" s="38"/>
      <c r="AS63" s="38"/>
      <c r="AT63" s="38"/>
      <c r="AU63" s="38"/>
      <c r="AV63" s="38"/>
      <c r="AW63" s="38"/>
      <c r="AX63" s="38"/>
      <c r="AY63" s="38"/>
      <c r="AZ63" s="38"/>
      <c r="BA63" s="38"/>
      <c r="BB63" s="38"/>
      <c r="BC63" s="38"/>
      <c r="BD63" s="38"/>
      <c r="BE63" s="38"/>
      <c r="BF63" s="38"/>
      <c r="BG63" s="37"/>
      <c r="BH63" s="37"/>
      <c r="BI63" s="37"/>
      <c r="BJ63" s="38"/>
      <c r="BK63" s="38"/>
      <c r="BL63" s="38"/>
      <c r="BM63" s="38"/>
      <c r="BN63" s="38"/>
      <c r="BO63" s="38"/>
      <c r="BP63" s="38"/>
      <c r="BQ63" s="38"/>
      <c r="BR63" s="38"/>
      <c r="BS63" s="38"/>
      <c r="BT63" s="38"/>
      <c r="BU63" s="38"/>
      <c r="BV63" s="38"/>
      <c r="BW63" s="38"/>
      <c r="BX63" s="38"/>
      <c r="BY63" s="38"/>
      <c r="BZ63" s="38"/>
      <c r="CA63" s="38"/>
      <c r="CB63" s="38"/>
    </row>
    <row r="64" spans="1:80" ht="12.95" customHeight="1">
      <c r="A64" s="38"/>
      <c r="B64" s="747"/>
      <c r="C64" s="748"/>
      <c r="D64" s="748"/>
      <c r="E64" s="748"/>
      <c r="F64" s="748"/>
      <c r="G64" s="749"/>
      <c r="H64" s="751"/>
      <c r="I64" s="765" t="s">
        <v>2236</v>
      </c>
      <c r="J64" s="111" t="s">
        <v>1361</v>
      </c>
      <c r="K64" s="111" t="s">
        <v>1359</v>
      </c>
      <c r="L64" s="111" t="s">
        <v>1362</v>
      </c>
      <c r="M64" s="823">
        <f>(J65*10)+(K65*20)+(L65*30)</f>
        <v>0</v>
      </c>
      <c r="N64" s="135"/>
      <c r="O64" s="135"/>
      <c r="P64" s="135"/>
      <c r="Q64" s="135"/>
      <c r="R64" s="135"/>
      <c r="S64" s="135"/>
      <c r="T64" s="135"/>
      <c r="U64" s="135"/>
      <c r="V64" s="38"/>
      <c r="W64" s="38"/>
      <c r="X64" s="38"/>
      <c r="Y64" s="38"/>
      <c r="Z64" s="38"/>
      <c r="AA64" s="38"/>
      <c r="AB64" s="38"/>
      <c r="AC64" s="38"/>
      <c r="AD64" s="38"/>
      <c r="AE64" s="38"/>
      <c r="AF64" s="38"/>
      <c r="AG64" s="38"/>
      <c r="AH64" s="38"/>
      <c r="AI64" s="38"/>
      <c r="AJ64" s="38"/>
      <c r="AK64" s="38"/>
      <c r="AL64" s="38"/>
      <c r="AM64" s="38"/>
      <c r="AN64" s="38"/>
      <c r="AO64" s="38"/>
      <c r="AP64" s="38"/>
      <c r="AQ64" s="38"/>
      <c r="AR64" s="38"/>
      <c r="AS64" s="38"/>
      <c r="AT64" s="38"/>
      <c r="AU64" s="38"/>
      <c r="AV64" s="38"/>
      <c r="AW64" s="38"/>
      <c r="AX64" s="38"/>
      <c r="AY64" s="38"/>
      <c r="AZ64" s="38"/>
      <c r="BA64" s="38"/>
      <c r="BB64" s="38"/>
      <c r="BC64" s="38"/>
      <c r="BD64" s="38"/>
      <c r="BE64" s="38"/>
      <c r="BF64" s="38"/>
      <c r="BG64" s="37"/>
      <c r="BH64" s="37"/>
      <c r="BI64" s="37"/>
      <c r="BJ64" s="38"/>
      <c r="BK64" s="38"/>
      <c r="BL64" s="38"/>
      <c r="BM64" s="38"/>
      <c r="BN64" s="38"/>
      <c r="BO64" s="38"/>
      <c r="BP64" s="38"/>
      <c r="BQ64" s="38"/>
      <c r="BR64" s="38"/>
      <c r="BS64" s="38"/>
      <c r="BT64" s="38"/>
      <c r="BU64" s="38"/>
      <c r="BV64" s="38"/>
      <c r="BW64" s="38"/>
      <c r="BX64" s="38"/>
      <c r="BY64" s="38"/>
      <c r="BZ64" s="38"/>
      <c r="CA64" s="38"/>
      <c r="CB64" s="38"/>
    </row>
    <row r="65" spans="1:80" ht="12.95" customHeight="1">
      <c r="A65" s="38"/>
      <c r="B65" s="747"/>
      <c r="C65" s="748"/>
      <c r="D65" s="748"/>
      <c r="E65" s="748"/>
      <c r="F65" s="748"/>
      <c r="G65" s="749"/>
      <c r="H65" s="751"/>
      <c r="I65" s="766"/>
      <c r="J65" s="576"/>
      <c r="K65" s="577"/>
      <c r="L65" s="577"/>
      <c r="M65" s="824"/>
      <c r="N65" s="135"/>
      <c r="O65" s="135"/>
      <c r="P65" s="135"/>
      <c r="Q65" s="135"/>
      <c r="R65" s="135"/>
      <c r="S65" s="135"/>
      <c r="T65" s="135"/>
      <c r="U65" s="135"/>
      <c r="V65" s="38"/>
      <c r="W65" s="38"/>
      <c r="X65" s="38"/>
      <c r="Y65" s="38"/>
      <c r="Z65" s="38"/>
      <c r="AA65" s="38"/>
      <c r="AB65" s="38"/>
      <c r="AC65" s="38"/>
      <c r="AD65" s="38"/>
      <c r="AE65" s="38"/>
      <c r="AF65" s="38"/>
      <c r="AG65" s="38"/>
      <c r="AH65" s="38"/>
      <c r="AI65" s="38"/>
      <c r="AJ65" s="38"/>
      <c r="AK65" s="38"/>
      <c r="AL65" s="38"/>
      <c r="AM65" s="38"/>
      <c r="AN65" s="38"/>
      <c r="AO65" s="38"/>
      <c r="AP65" s="38"/>
      <c r="AQ65" s="38"/>
      <c r="AR65" s="38"/>
      <c r="AS65" s="38"/>
      <c r="AT65" s="38"/>
      <c r="AU65" s="38"/>
      <c r="AV65" s="38"/>
      <c r="AW65" s="38"/>
      <c r="AX65" s="38"/>
      <c r="AY65" s="38"/>
      <c r="AZ65" s="38"/>
      <c r="BA65" s="38"/>
      <c r="BB65" s="38"/>
      <c r="BC65" s="38"/>
      <c r="BD65" s="38"/>
      <c r="BE65" s="38"/>
      <c r="BF65" s="38"/>
      <c r="BG65" s="37"/>
      <c r="BH65" s="37"/>
      <c r="BI65" s="37"/>
      <c r="BJ65" s="38"/>
      <c r="BK65" s="38"/>
      <c r="BL65" s="38"/>
      <c r="BM65" s="38"/>
      <c r="BN65" s="38"/>
      <c r="BO65" s="38"/>
      <c r="BP65" s="38"/>
      <c r="BQ65" s="38"/>
      <c r="BR65" s="38"/>
      <c r="BS65" s="38"/>
      <c r="BT65" s="38"/>
      <c r="BU65" s="38"/>
      <c r="BV65" s="38"/>
      <c r="BW65" s="38"/>
      <c r="BX65" s="38"/>
      <c r="BY65" s="38"/>
      <c r="BZ65" s="38"/>
      <c r="CA65" s="38"/>
      <c r="CB65" s="38"/>
    </row>
    <row r="66" spans="1:80" ht="12.95" customHeight="1">
      <c r="A66" s="38"/>
      <c r="B66" s="756"/>
      <c r="C66" s="757"/>
      <c r="D66" s="757"/>
      <c r="E66" s="757"/>
      <c r="F66" s="757"/>
      <c r="G66" s="758"/>
      <c r="H66" s="751"/>
      <c r="I66" s="770" t="s">
        <v>1360</v>
      </c>
      <c r="J66" s="772"/>
      <c r="K66" s="772"/>
      <c r="L66" s="773"/>
      <c r="M66" s="110">
        <f>IF(Ducts!AM29&lt;0,0,Ducts!AM29)</f>
        <v>0</v>
      </c>
      <c r="N66" s="135"/>
      <c r="O66" s="135"/>
      <c r="P66" s="135"/>
      <c r="Q66" s="135"/>
      <c r="R66" s="135"/>
      <c r="S66" s="135"/>
      <c r="T66" s="135"/>
      <c r="U66" s="135"/>
      <c r="V66" s="38"/>
      <c r="W66" s="38"/>
      <c r="X66" s="38"/>
      <c r="Y66" s="38"/>
      <c r="Z66" s="38"/>
      <c r="AA66" s="38"/>
      <c r="AB66" s="38"/>
      <c r="AC66" s="38"/>
      <c r="AD66" s="38"/>
      <c r="AE66" s="38"/>
      <c r="AF66" s="38"/>
      <c r="AG66" s="38"/>
      <c r="AH66" s="38"/>
      <c r="AI66" s="38"/>
      <c r="AJ66" s="38"/>
      <c r="AK66" s="38"/>
      <c r="AL66" s="38"/>
      <c r="AM66" s="38"/>
      <c r="AN66" s="38"/>
      <c r="AO66" s="38"/>
      <c r="AP66" s="38"/>
      <c r="AQ66" s="38"/>
      <c r="AR66" s="38"/>
      <c r="AS66" s="38"/>
      <c r="AT66" s="38"/>
      <c r="AU66" s="38"/>
      <c r="AV66" s="38"/>
      <c r="AW66" s="38"/>
      <c r="AX66" s="38"/>
      <c r="AY66" s="38"/>
      <c r="AZ66" s="38"/>
      <c r="BA66" s="38"/>
      <c r="BB66" s="38"/>
      <c r="BC66" s="38"/>
      <c r="BD66" s="38"/>
      <c r="BE66" s="38"/>
      <c r="BF66" s="38"/>
      <c r="BG66" s="37"/>
      <c r="BH66" s="37"/>
      <c r="BI66" s="37"/>
      <c r="BJ66" s="38"/>
      <c r="BK66" s="38"/>
      <c r="BL66" s="38"/>
      <c r="BM66" s="38"/>
      <c r="BN66" s="38"/>
      <c r="BO66" s="38"/>
      <c r="BP66" s="38"/>
      <c r="BQ66" s="38"/>
      <c r="BR66" s="38"/>
      <c r="BS66" s="38"/>
      <c r="BT66" s="38"/>
      <c r="BU66" s="38"/>
      <c r="BV66" s="38"/>
      <c r="BW66" s="38"/>
      <c r="BX66" s="38"/>
      <c r="BY66" s="38"/>
      <c r="BZ66" s="38"/>
      <c r="CA66" s="38"/>
      <c r="CB66" s="38"/>
    </row>
    <row r="67" spans="1:80" ht="12.95" customHeight="1" thickBot="1">
      <c r="A67" s="38"/>
      <c r="B67" s="747"/>
      <c r="C67" s="748"/>
      <c r="D67" s="748"/>
      <c r="E67" s="748"/>
      <c r="F67" s="748"/>
      <c r="G67" s="749"/>
      <c r="H67" s="751"/>
      <c r="I67" s="779" t="s">
        <v>1366</v>
      </c>
      <c r="J67" s="771"/>
      <c r="K67" s="771"/>
      <c r="L67" s="780"/>
      <c r="M67" s="112">
        <f>IF(H6&lt;0,0,(0.68*H6*K7*K59))</f>
        <v>0</v>
      </c>
      <c r="N67" s="135"/>
      <c r="O67" s="135"/>
      <c r="P67" s="135"/>
      <c r="Q67" s="135"/>
      <c r="R67" s="135"/>
      <c r="S67" s="135"/>
      <c r="T67" s="135"/>
      <c r="U67" s="135"/>
      <c r="V67" s="38"/>
      <c r="W67" s="38"/>
      <c r="X67" s="38"/>
      <c r="Y67" s="38"/>
      <c r="Z67" s="38"/>
      <c r="AA67" s="38"/>
      <c r="AB67" s="38"/>
      <c r="AC67" s="38"/>
      <c r="AD67" s="38"/>
      <c r="AE67" s="38"/>
      <c r="AF67" s="38"/>
      <c r="AG67" s="38"/>
      <c r="AH67" s="38"/>
      <c r="AI67" s="38"/>
      <c r="AJ67" s="38"/>
      <c r="AK67" s="38"/>
      <c r="AL67" s="38"/>
      <c r="AM67" s="38"/>
      <c r="AN67" s="38"/>
      <c r="AO67" s="38"/>
      <c r="AP67" s="38"/>
      <c r="AQ67" s="38"/>
      <c r="AR67" s="38"/>
      <c r="AS67" s="38"/>
      <c r="AT67" s="38"/>
      <c r="AU67" s="38"/>
      <c r="AV67" s="38"/>
      <c r="AW67" s="38"/>
      <c r="AX67" s="38"/>
      <c r="AY67" s="38"/>
      <c r="AZ67" s="38"/>
      <c r="BA67" s="38"/>
      <c r="BB67" s="38"/>
      <c r="BC67" s="38"/>
      <c r="BD67" s="38"/>
      <c r="BE67" s="38"/>
      <c r="BF67" s="38"/>
      <c r="BG67" s="37"/>
      <c r="BH67" s="37"/>
      <c r="BI67" s="37"/>
      <c r="BJ67" s="38"/>
      <c r="BK67" s="38"/>
      <c r="BL67" s="38"/>
      <c r="BM67" s="38"/>
      <c r="BN67" s="38"/>
      <c r="BO67" s="38"/>
      <c r="BP67" s="38"/>
      <c r="BQ67" s="38"/>
      <c r="BR67" s="38"/>
      <c r="BS67" s="38"/>
      <c r="BT67" s="38"/>
      <c r="BU67" s="38"/>
      <c r="BV67" s="38"/>
      <c r="BW67" s="38"/>
      <c r="BX67" s="38"/>
      <c r="BY67" s="38"/>
      <c r="BZ67" s="38"/>
      <c r="CA67" s="38"/>
      <c r="CB67" s="38"/>
    </row>
    <row r="68" spans="1:80" ht="12.95" customHeight="1" thickBot="1">
      <c r="A68" s="38"/>
      <c r="B68" s="759"/>
      <c r="C68" s="760"/>
      <c r="D68" s="760"/>
      <c r="E68" s="760"/>
      <c r="F68" s="760"/>
      <c r="G68" s="761"/>
      <c r="H68" s="752"/>
      <c r="I68" s="777" t="s">
        <v>1312</v>
      </c>
      <c r="J68" s="731"/>
      <c r="K68" s="731"/>
      <c r="L68" s="778"/>
      <c r="M68" s="275">
        <f>IF(SUM(M62:M67)&lt;0,0,SUM(M62:M67))</f>
        <v>1048.446367904</v>
      </c>
      <c r="N68" s="135"/>
      <c r="O68" s="135"/>
      <c r="P68" s="135"/>
      <c r="Q68" s="135"/>
      <c r="R68" s="135"/>
      <c r="S68" s="135"/>
      <c r="T68" s="135"/>
      <c r="U68" s="135"/>
      <c r="V68" s="38"/>
      <c r="W68" s="38"/>
      <c r="X68" s="38"/>
      <c r="Y68" s="38"/>
      <c r="Z68" s="38"/>
      <c r="AA68" s="38"/>
      <c r="AB68" s="38"/>
      <c r="AC68" s="38"/>
      <c r="AD68" s="38"/>
      <c r="AE68" s="38"/>
      <c r="AF68" s="38"/>
      <c r="AG68" s="38"/>
      <c r="AH68" s="38"/>
      <c r="AI68" s="38"/>
      <c r="AJ68" s="38"/>
      <c r="AK68" s="38"/>
      <c r="AL68" s="38"/>
      <c r="AM68" s="38"/>
      <c r="AN68" s="38"/>
      <c r="AO68" s="38"/>
      <c r="AP68" s="38"/>
      <c r="AQ68" s="38"/>
      <c r="AR68" s="38"/>
      <c r="AS68" s="38"/>
      <c r="AT68" s="38"/>
      <c r="AU68" s="38"/>
      <c r="AV68" s="38"/>
      <c r="AW68" s="38"/>
      <c r="AX68" s="38"/>
      <c r="AY68" s="38"/>
      <c r="AZ68" s="38"/>
      <c r="BA68" s="38"/>
      <c r="BB68" s="38"/>
      <c r="BC68" s="38"/>
      <c r="BD68" s="38"/>
      <c r="BE68" s="38"/>
      <c r="BF68" s="38"/>
      <c r="BG68" s="37"/>
      <c r="BH68" s="37"/>
      <c r="BI68" s="37"/>
      <c r="BJ68" s="38"/>
      <c r="BK68" s="38"/>
      <c r="BL68" s="38"/>
      <c r="BM68" s="38"/>
      <c r="BN68" s="38"/>
      <c r="BO68" s="38"/>
      <c r="BP68" s="38"/>
      <c r="BQ68" s="38"/>
      <c r="BR68" s="38"/>
      <c r="BS68" s="38"/>
      <c r="BT68" s="38"/>
      <c r="BU68" s="38"/>
      <c r="BV68" s="38"/>
      <c r="BW68" s="38"/>
      <c r="BX68" s="38"/>
      <c r="BY68" s="38"/>
      <c r="BZ68" s="38"/>
      <c r="CA68" s="38"/>
      <c r="CB68" s="38"/>
    </row>
    <row r="69" spans="1:80" ht="12.95" customHeight="1">
      <c r="A69" s="38"/>
      <c r="B69" s="506"/>
      <c r="C69" s="38"/>
      <c r="D69" s="38"/>
      <c r="E69" s="38"/>
      <c r="F69" s="38"/>
      <c r="G69" s="38"/>
      <c r="H69" s="38"/>
      <c r="I69" s="38"/>
      <c r="J69" s="38"/>
      <c r="K69" s="38"/>
      <c r="L69" s="38"/>
      <c r="M69" s="38"/>
      <c r="N69" s="38"/>
      <c r="O69" s="38"/>
      <c r="P69" s="38"/>
      <c r="Q69" s="38"/>
      <c r="R69" s="38"/>
      <c r="S69" s="38"/>
      <c r="T69" s="38"/>
      <c r="U69" s="38"/>
      <c r="V69" s="38"/>
      <c r="W69" s="38"/>
      <c r="X69" s="38"/>
      <c r="Y69" s="38"/>
      <c r="Z69" s="38"/>
      <c r="AA69" s="38"/>
      <c r="AB69" s="38"/>
      <c r="AC69" s="38"/>
      <c r="AD69" s="38"/>
      <c r="AE69" s="38"/>
      <c r="AF69" s="38"/>
      <c r="AG69" s="38"/>
      <c r="AH69" s="38"/>
      <c r="AI69" s="38"/>
      <c r="AJ69" s="38"/>
      <c r="AK69" s="38"/>
      <c r="AL69" s="38"/>
      <c r="AM69" s="38"/>
      <c r="AN69" s="38"/>
      <c r="AO69" s="38"/>
      <c r="AP69" s="38"/>
      <c r="AQ69" s="38"/>
      <c r="AR69" s="38"/>
      <c r="AS69" s="38"/>
      <c r="AT69" s="38"/>
      <c r="AU69" s="38"/>
      <c r="AV69" s="38"/>
      <c r="AW69" s="38"/>
      <c r="AX69" s="38"/>
      <c r="AY69" s="38"/>
      <c r="AZ69" s="38"/>
      <c r="BA69" s="38"/>
      <c r="BB69" s="38"/>
      <c r="BC69" s="38"/>
      <c r="BD69" s="38"/>
      <c r="BE69" s="38"/>
      <c r="BF69" s="38"/>
      <c r="BJ69" s="38"/>
      <c r="BK69" s="38"/>
      <c r="BL69" s="38"/>
      <c r="BM69" s="38"/>
      <c r="BN69" s="38"/>
      <c r="BO69" s="38"/>
      <c r="BP69" s="38"/>
      <c r="BQ69" s="38"/>
      <c r="BR69" s="38"/>
      <c r="BS69" s="38"/>
      <c r="BT69" s="38"/>
      <c r="BU69" s="38"/>
      <c r="BV69" s="38"/>
      <c r="BW69" s="38"/>
      <c r="BX69" s="38"/>
      <c r="BY69" s="38"/>
      <c r="BZ69" s="38"/>
      <c r="CA69" s="38"/>
      <c r="CB69" s="38"/>
    </row>
    <row r="70" spans="1:80" ht="12.95" customHeight="1">
      <c r="A70" s="38"/>
      <c r="B70" s="506"/>
      <c r="C70" s="38"/>
      <c r="D70" s="38"/>
      <c r="E70" s="38"/>
      <c r="F70" s="38"/>
      <c r="G70" s="38"/>
      <c r="H70" s="38"/>
      <c r="I70" s="38"/>
      <c r="J70" s="38"/>
      <c r="K70" s="38"/>
      <c r="L70" s="38"/>
      <c r="M70" s="38"/>
      <c r="N70" s="38"/>
      <c r="O70" s="38"/>
      <c r="P70" s="38"/>
      <c r="Q70" s="38"/>
      <c r="R70" s="38"/>
      <c r="S70" s="38"/>
      <c r="T70" s="38"/>
      <c r="U70" s="38"/>
      <c r="V70" s="38"/>
      <c r="W70" s="38"/>
      <c r="X70" s="38"/>
      <c r="Y70" s="38"/>
      <c r="Z70" s="38"/>
      <c r="AA70" s="38"/>
      <c r="AB70" s="38"/>
      <c r="AC70" s="38"/>
      <c r="AD70" s="38"/>
      <c r="AE70" s="38"/>
      <c r="AF70" s="38"/>
      <c r="AG70" s="38"/>
      <c r="AH70" s="38"/>
      <c r="AI70" s="38"/>
      <c r="AJ70" s="38"/>
      <c r="AK70" s="38"/>
      <c r="AL70" s="38"/>
      <c r="AM70" s="38"/>
      <c r="AN70" s="38"/>
      <c r="AO70" s="38"/>
      <c r="AP70" s="38"/>
      <c r="AQ70" s="38"/>
      <c r="AR70" s="38"/>
      <c r="AS70" s="38"/>
      <c r="AT70" s="38"/>
      <c r="AU70" s="38"/>
      <c r="AV70" s="38"/>
      <c r="AW70" s="38"/>
      <c r="AX70" s="38"/>
      <c r="AY70" s="38"/>
      <c r="AZ70" s="38"/>
      <c r="BA70" s="38"/>
      <c r="BB70" s="38"/>
      <c r="BC70" s="38"/>
      <c r="BD70" s="38"/>
      <c r="BE70" s="38"/>
      <c r="BF70" s="38"/>
      <c r="BJ70" s="38"/>
      <c r="BK70" s="38"/>
      <c r="BL70" s="38"/>
      <c r="BM70" s="38"/>
      <c r="BN70" s="38"/>
      <c r="BO70" s="38"/>
      <c r="BP70" s="38"/>
      <c r="BQ70" s="38"/>
      <c r="BR70" s="38"/>
      <c r="BS70" s="38"/>
      <c r="BT70" s="38"/>
      <c r="BU70" s="38"/>
      <c r="BV70" s="38"/>
      <c r="BW70" s="38"/>
      <c r="BX70" s="38"/>
      <c r="BY70" s="38"/>
      <c r="BZ70" s="38"/>
      <c r="CA70" s="38"/>
      <c r="CB70" s="38"/>
    </row>
    <row r="71" spans="1:80" ht="12.95" customHeight="1">
      <c r="A71" s="38"/>
      <c r="B71" s="506"/>
      <c r="C71" s="38"/>
      <c r="D71" s="38"/>
      <c r="E71" s="38"/>
      <c r="F71" s="38"/>
      <c r="G71" s="38"/>
      <c r="H71" s="38"/>
      <c r="I71" s="38"/>
      <c r="J71" s="38"/>
      <c r="K71" s="38"/>
      <c r="L71" s="38"/>
      <c r="M71" s="38"/>
      <c r="N71" s="38"/>
      <c r="O71" s="38"/>
      <c r="P71" s="38"/>
      <c r="Q71" s="38"/>
      <c r="R71" s="38"/>
      <c r="S71" s="38"/>
      <c r="T71" s="38"/>
      <c r="U71" s="38"/>
      <c r="V71" s="38"/>
      <c r="W71" s="38"/>
      <c r="X71" s="38"/>
      <c r="Y71" s="38"/>
      <c r="Z71" s="38"/>
      <c r="AA71" s="38"/>
      <c r="AB71" s="38"/>
      <c r="AC71" s="38"/>
      <c r="AD71" s="38"/>
      <c r="AE71" s="38"/>
      <c r="AF71" s="38"/>
      <c r="AG71" s="38"/>
      <c r="AH71" s="38"/>
      <c r="AI71" s="38"/>
      <c r="AJ71" s="38"/>
      <c r="AK71" s="38"/>
      <c r="AL71" s="38"/>
      <c r="AM71" s="38"/>
      <c r="AN71" s="38"/>
      <c r="AO71" s="38"/>
      <c r="AP71" s="38"/>
      <c r="AQ71" s="38"/>
      <c r="AR71" s="38"/>
      <c r="AS71" s="38"/>
      <c r="AT71" s="38"/>
      <c r="AU71" s="38"/>
      <c r="AV71" s="38"/>
      <c r="AW71" s="38"/>
      <c r="AX71" s="38"/>
      <c r="AY71" s="38"/>
      <c r="AZ71" s="38"/>
      <c r="BA71" s="38"/>
      <c r="BB71" s="38"/>
      <c r="BC71" s="38"/>
      <c r="BD71" s="38"/>
      <c r="BE71" s="38"/>
      <c r="BF71" s="38"/>
      <c r="BJ71" s="38"/>
      <c r="BK71" s="38"/>
      <c r="BL71" s="38"/>
      <c r="BM71" s="38"/>
      <c r="BN71" s="38"/>
      <c r="BO71" s="38"/>
      <c r="BP71" s="38"/>
      <c r="BQ71" s="38"/>
      <c r="BR71" s="38"/>
      <c r="BS71" s="38"/>
      <c r="BT71" s="38"/>
      <c r="BU71" s="38"/>
      <c r="BV71" s="38"/>
      <c r="BW71" s="38"/>
      <c r="BX71" s="38"/>
      <c r="BY71" s="38"/>
      <c r="BZ71" s="38"/>
      <c r="CA71" s="38"/>
      <c r="CB71" s="38"/>
    </row>
    <row r="72" spans="1:80" ht="12.95" customHeight="1">
      <c r="A72" s="38"/>
      <c r="B72" s="506"/>
      <c r="C72" s="38"/>
      <c r="D72" s="38"/>
      <c r="E72" s="38"/>
      <c r="F72" s="38"/>
      <c r="G72" s="38"/>
      <c r="H72" s="38"/>
      <c r="I72" s="38"/>
      <c r="J72" s="38"/>
      <c r="K72" s="38"/>
      <c r="L72" s="38"/>
      <c r="M72" s="38"/>
      <c r="N72" s="38"/>
      <c r="O72" s="38"/>
      <c r="P72" s="38"/>
      <c r="Q72" s="38"/>
      <c r="R72" s="38"/>
      <c r="S72" s="38"/>
      <c r="T72" s="38"/>
      <c r="U72" s="38"/>
      <c r="V72" s="38"/>
      <c r="W72" s="38"/>
      <c r="X72" s="38"/>
      <c r="Y72" s="38"/>
      <c r="Z72" s="38"/>
      <c r="AA72" s="38"/>
      <c r="AB72" s="38"/>
      <c r="AC72" s="38"/>
      <c r="AD72" s="38"/>
      <c r="AE72" s="38"/>
      <c r="AF72" s="38"/>
      <c r="AG72" s="38"/>
      <c r="AH72" s="38"/>
      <c r="AI72" s="38"/>
      <c r="AJ72" s="38"/>
      <c r="AK72" s="38"/>
      <c r="AL72" s="38"/>
      <c r="AM72" s="38"/>
      <c r="AN72" s="38"/>
      <c r="AO72" s="38"/>
      <c r="AP72" s="38"/>
      <c r="AQ72" s="38"/>
      <c r="AR72" s="38"/>
      <c r="AS72" s="38"/>
      <c r="AT72" s="38"/>
      <c r="AU72" s="38"/>
      <c r="AV72" s="38"/>
      <c r="AW72" s="38"/>
      <c r="AX72" s="38"/>
      <c r="AY72" s="38"/>
      <c r="AZ72" s="38"/>
      <c r="BA72" s="38"/>
      <c r="BB72" s="38"/>
      <c r="BC72" s="38"/>
      <c r="BD72" s="38"/>
      <c r="BE72" s="38"/>
      <c r="BF72" s="38"/>
      <c r="BJ72" s="38"/>
      <c r="BK72" s="38"/>
      <c r="BL72" s="38"/>
      <c r="BM72" s="38"/>
      <c r="BN72" s="38"/>
      <c r="BO72" s="38"/>
      <c r="BP72" s="38"/>
      <c r="BQ72" s="38"/>
      <c r="BR72" s="38"/>
      <c r="BS72" s="38"/>
      <c r="BT72" s="38"/>
      <c r="BU72" s="38"/>
      <c r="BV72" s="38"/>
      <c r="BW72" s="38"/>
      <c r="BX72" s="38"/>
      <c r="BY72" s="38"/>
      <c r="BZ72" s="38"/>
      <c r="CA72" s="38"/>
      <c r="CB72" s="38"/>
    </row>
    <row r="73" spans="1:80" ht="12.95" customHeight="1">
      <c r="A73" s="38"/>
      <c r="B73" s="506"/>
      <c r="C73" s="38"/>
      <c r="D73" s="38"/>
      <c r="E73" s="38"/>
      <c r="F73" s="38"/>
      <c r="G73" s="38"/>
      <c r="H73" s="38"/>
      <c r="I73" s="38"/>
      <c r="J73" s="38"/>
      <c r="K73" s="38"/>
      <c r="L73" s="38"/>
      <c r="M73" s="38"/>
      <c r="N73" s="38"/>
      <c r="O73" s="38"/>
      <c r="P73" s="38"/>
      <c r="Q73" s="38"/>
      <c r="R73" s="38"/>
      <c r="S73" s="38"/>
      <c r="T73" s="38"/>
      <c r="U73" s="38"/>
      <c r="V73" s="38"/>
      <c r="W73" s="38"/>
      <c r="X73" s="38"/>
      <c r="Y73" s="38"/>
      <c r="Z73" s="38"/>
      <c r="AA73" s="38"/>
      <c r="AB73" s="38"/>
      <c r="AC73" s="38"/>
      <c r="AD73" s="38"/>
      <c r="AE73" s="38"/>
      <c r="AF73" s="38"/>
      <c r="AG73" s="38"/>
      <c r="AH73" s="38"/>
      <c r="AI73" s="38"/>
      <c r="AJ73" s="38"/>
      <c r="AK73" s="38"/>
      <c r="AL73" s="38"/>
      <c r="AM73" s="38"/>
      <c r="AN73" s="38"/>
      <c r="AO73" s="38"/>
      <c r="AP73" s="38"/>
      <c r="AQ73" s="38"/>
      <c r="AR73" s="38"/>
      <c r="AS73" s="38"/>
      <c r="AT73" s="38"/>
      <c r="AU73" s="38"/>
      <c r="AV73" s="38"/>
      <c r="AW73" s="38"/>
      <c r="AX73" s="38"/>
      <c r="AY73" s="38"/>
      <c r="AZ73" s="38"/>
      <c r="BA73" s="38"/>
      <c r="BB73" s="38"/>
      <c r="BC73" s="38"/>
      <c r="BD73" s="38"/>
      <c r="BE73" s="38"/>
      <c r="BF73" s="38"/>
      <c r="BJ73" s="38"/>
      <c r="BK73" s="38"/>
      <c r="BL73" s="38"/>
      <c r="BM73" s="38"/>
      <c r="BN73" s="38"/>
      <c r="BO73" s="38"/>
      <c r="BP73" s="38"/>
      <c r="BQ73" s="38"/>
      <c r="BR73" s="38"/>
      <c r="BS73" s="38"/>
      <c r="BT73" s="38"/>
      <c r="BU73" s="38"/>
      <c r="BV73" s="38"/>
      <c r="BW73" s="38"/>
      <c r="BX73" s="38"/>
      <c r="BY73" s="38"/>
      <c r="BZ73" s="38"/>
      <c r="CA73" s="38"/>
      <c r="CB73" s="38"/>
    </row>
    <row r="74" spans="1:80" ht="12.95" customHeight="1">
      <c r="A74" s="38"/>
      <c r="B74" s="506"/>
      <c r="C74" s="38"/>
      <c r="D74" s="38"/>
      <c r="E74" s="38"/>
      <c r="F74" s="38"/>
      <c r="G74" s="38"/>
      <c r="H74" s="38"/>
      <c r="I74" s="38"/>
      <c r="J74" s="38"/>
      <c r="K74" s="38"/>
      <c r="L74" s="38"/>
      <c r="M74" s="38"/>
      <c r="N74" s="247"/>
      <c r="O74" s="247"/>
      <c r="P74" s="247"/>
      <c r="Q74" s="247"/>
      <c r="R74" s="247"/>
      <c r="S74" s="247"/>
      <c r="T74" s="247"/>
      <c r="U74" s="247"/>
      <c r="V74" s="38"/>
      <c r="W74" s="38"/>
      <c r="X74" s="38"/>
      <c r="Y74" s="38"/>
      <c r="Z74" s="38"/>
      <c r="AA74" s="38"/>
      <c r="AB74" s="38"/>
      <c r="AC74" s="38"/>
      <c r="AD74" s="38"/>
      <c r="AE74" s="38"/>
      <c r="AF74" s="38"/>
      <c r="AG74" s="38"/>
      <c r="AH74" s="38"/>
      <c r="AI74" s="38"/>
      <c r="AJ74" s="38"/>
      <c r="AK74" s="38"/>
      <c r="AL74" s="38"/>
      <c r="AM74" s="38"/>
      <c r="AN74" s="38"/>
      <c r="AO74" s="38"/>
      <c r="AP74" s="38"/>
      <c r="AQ74" s="38"/>
      <c r="AR74" s="38"/>
      <c r="AS74" s="38"/>
      <c r="AT74" s="38"/>
      <c r="AU74" s="38"/>
      <c r="AV74" s="38"/>
      <c r="AW74" s="38"/>
      <c r="AX74" s="38"/>
      <c r="AY74" s="38"/>
      <c r="AZ74" s="38"/>
      <c r="BA74" s="38"/>
      <c r="BB74" s="38"/>
      <c r="BC74" s="38"/>
      <c r="BD74" s="38"/>
      <c r="BE74" s="38"/>
      <c r="BF74" s="38"/>
      <c r="BJ74" s="38"/>
      <c r="BK74" s="38"/>
      <c r="BL74" s="38"/>
      <c r="BM74" s="38"/>
      <c r="BN74" s="38"/>
      <c r="BO74" s="38"/>
      <c r="BP74" s="38"/>
      <c r="BQ74" s="38"/>
      <c r="BR74" s="38"/>
      <c r="BS74" s="38"/>
      <c r="BT74" s="38"/>
      <c r="BU74" s="38"/>
      <c r="BV74" s="38"/>
      <c r="BW74" s="38"/>
      <c r="BX74" s="38"/>
      <c r="BY74" s="38"/>
      <c r="BZ74" s="38"/>
      <c r="CA74" s="38"/>
      <c r="CB74" s="38"/>
    </row>
    <row r="75" spans="1:80" ht="12.95" customHeight="1">
      <c r="A75" s="38"/>
      <c r="B75" s="506"/>
      <c r="C75" s="38"/>
      <c r="D75" s="38"/>
      <c r="E75" s="38"/>
      <c r="F75" s="38"/>
      <c r="G75" s="38"/>
      <c r="H75" s="38"/>
      <c r="I75" s="38"/>
      <c r="J75" s="38"/>
      <c r="K75" s="38"/>
      <c r="L75" s="38"/>
      <c r="M75" s="38"/>
      <c r="N75" s="38"/>
      <c r="O75" s="38"/>
      <c r="P75" s="38"/>
      <c r="Q75" s="38"/>
      <c r="R75" s="38"/>
      <c r="S75" s="38"/>
      <c r="T75" s="38"/>
      <c r="U75" s="38"/>
      <c r="V75" s="38"/>
      <c r="W75" s="38"/>
      <c r="X75" s="38"/>
      <c r="Y75" s="38"/>
      <c r="Z75" s="38"/>
      <c r="AA75" s="38"/>
      <c r="AB75" s="38"/>
      <c r="AC75" s="38"/>
      <c r="AD75" s="38"/>
      <c r="AE75" s="38"/>
      <c r="AF75" s="38"/>
      <c r="AG75" s="38"/>
      <c r="AH75" s="38"/>
      <c r="AI75" s="38"/>
      <c r="AJ75" s="38"/>
      <c r="AK75" s="38"/>
      <c r="AL75" s="38"/>
      <c r="AM75" s="38"/>
      <c r="AN75" s="38"/>
      <c r="AO75" s="38"/>
      <c r="AP75" s="38"/>
      <c r="AQ75" s="38"/>
      <c r="AR75" s="38"/>
      <c r="AS75" s="38"/>
      <c r="AT75" s="38"/>
      <c r="AU75" s="38"/>
      <c r="AV75" s="38"/>
      <c r="AW75" s="38"/>
      <c r="AX75" s="38"/>
      <c r="AY75" s="38"/>
      <c r="AZ75" s="38"/>
      <c r="BA75" s="38"/>
      <c r="BB75" s="38"/>
      <c r="BC75" s="38"/>
      <c r="BD75" s="38"/>
      <c r="BE75" s="38"/>
      <c r="BF75" s="38"/>
      <c r="BJ75" s="38"/>
      <c r="BK75" s="38"/>
      <c r="BL75" s="38"/>
      <c r="BM75" s="38"/>
      <c r="BN75" s="38"/>
      <c r="BO75" s="38"/>
      <c r="BP75" s="38"/>
      <c r="BQ75" s="38"/>
      <c r="BR75" s="38"/>
      <c r="BS75" s="38"/>
      <c r="BT75" s="38"/>
      <c r="BU75" s="38"/>
      <c r="BV75" s="38"/>
      <c r="BW75" s="38"/>
      <c r="BX75" s="38"/>
      <c r="BY75" s="38"/>
      <c r="BZ75" s="38"/>
      <c r="CA75" s="38"/>
      <c r="CB75" s="38"/>
    </row>
    <row r="76" spans="1:80" ht="12.95" customHeight="1">
      <c r="A76" s="38"/>
      <c r="B76" s="506"/>
      <c r="C76" s="38"/>
      <c r="D76" s="38"/>
      <c r="E76" s="38"/>
      <c r="F76" s="38"/>
      <c r="G76" s="38"/>
      <c r="H76" s="38"/>
      <c r="I76" s="38"/>
      <c r="J76" s="38"/>
      <c r="K76" s="38"/>
      <c r="L76" s="38"/>
      <c r="M76" s="38"/>
      <c r="N76" s="38"/>
      <c r="O76" s="38"/>
      <c r="P76" s="38"/>
      <c r="Q76" s="38"/>
      <c r="R76" s="38"/>
      <c r="S76" s="38"/>
      <c r="T76" s="38"/>
      <c r="U76" s="38"/>
      <c r="V76" s="38"/>
      <c r="W76" s="38"/>
      <c r="X76" s="38"/>
      <c r="Y76" s="38"/>
      <c r="Z76" s="38"/>
      <c r="AA76" s="38"/>
      <c r="AB76" s="38"/>
      <c r="AC76" s="38"/>
      <c r="AD76" s="38"/>
      <c r="AE76" s="38"/>
      <c r="AF76" s="38"/>
      <c r="AG76" s="38"/>
      <c r="AH76" s="38"/>
      <c r="AI76" s="38"/>
      <c r="AJ76" s="38"/>
      <c r="AK76" s="38"/>
      <c r="AL76" s="38"/>
      <c r="AM76" s="38"/>
      <c r="AN76" s="38"/>
      <c r="AO76" s="38"/>
      <c r="AP76" s="38"/>
      <c r="AQ76" s="38"/>
      <c r="AR76" s="38"/>
      <c r="AS76" s="38"/>
      <c r="AT76" s="38"/>
      <c r="AU76" s="38"/>
      <c r="AV76" s="38"/>
      <c r="AW76" s="38"/>
      <c r="AX76" s="38"/>
      <c r="AY76" s="38"/>
      <c r="AZ76" s="38"/>
      <c r="BA76" s="38"/>
      <c r="BB76" s="38"/>
      <c r="BC76" s="38"/>
      <c r="BD76" s="38"/>
      <c r="BE76" s="38"/>
      <c r="BF76" s="38"/>
      <c r="BJ76" s="38"/>
      <c r="BK76" s="38"/>
      <c r="BL76" s="38"/>
      <c r="BM76" s="38"/>
      <c r="BN76" s="38"/>
      <c r="BO76" s="38"/>
      <c r="BP76" s="38"/>
      <c r="BQ76" s="38"/>
      <c r="BR76" s="38"/>
      <c r="BS76" s="38"/>
      <c r="BT76" s="38"/>
      <c r="BU76" s="38"/>
      <c r="BV76" s="38"/>
      <c r="BW76" s="38"/>
      <c r="BX76" s="38"/>
      <c r="BY76" s="38"/>
      <c r="BZ76" s="38"/>
      <c r="CA76" s="38"/>
      <c r="CB76" s="38"/>
    </row>
    <row r="77" spans="1:80" ht="12.95" customHeight="1">
      <c r="A77" s="38"/>
      <c r="B77" s="506"/>
      <c r="C77" s="38"/>
      <c r="D77" s="38"/>
      <c r="E77" s="38"/>
      <c r="F77" s="38"/>
      <c r="G77" s="38"/>
      <c r="H77" s="38"/>
      <c r="I77" s="38"/>
      <c r="J77" s="38"/>
      <c r="K77" s="38"/>
      <c r="L77" s="38"/>
      <c r="M77" s="38"/>
      <c r="N77" s="38"/>
      <c r="O77" s="38"/>
      <c r="P77" s="38"/>
      <c r="Q77" s="38"/>
      <c r="R77" s="38"/>
      <c r="S77" s="38"/>
      <c r="T77" s="38"/>
      <c r="U77" s="38"/>
      <c r="V77" s="38"/>
      <c r="W77" s="38"/>
      <c r="X77" s="38"/>
      <c r="Y77" s="38"/>
      <c r="Z77" s="38"/>
      <c r="AA77" s="38"/>
      <c r="AB77" s="38"/>
      <c r="AC77" s="38"/>
      <c r="AD77" s="38"/>
      <c r="AE77" s="38"/>
      <c r="AF77" s="38"/>
      <c r="AG77" s="38"/>
      <c r="AH77" s="38"/>
      <c r="AI77" s="38"/>
      <c r="AJ77" s="38"/>
      <c r="AK77" s="38"/>
      <c r="AL77" s="38"/>
      <c r="AM77" s="38"/>
      <c r="AN77" s="38"/>
      <c r="AO77" s="38"/>
      <c r="AP77" s="38"/>
      <c r="AQ77" s="38"/>
      <c r="AR77" s="38"/>
      <c r="AS77" s="38"/>
      <c r="AT77" s="38"/>
      <c r="AU77" s="38"/>
      <c r="AV77" s="38"/>
      <c r="AW77" s="38"/>
      <c r="AX77" s="38"/>
      <c r="AY77" s="38"/>
      <c r="AZ77" s="38"/>
      <c r="BA77" s="38"/>
      <c r="BB77" s="38"/>
      <c r="BC77" s="38"/>
      <c r="BD77" s="38"/>
      <c r="BE77" s="38"/>
      <c r="BF77" s="38"/>
      <c r="BJ77" s="38"/>
      <c r="BK77" s="38"/>
      <c r="BL77" s="38"/>
      <c r="BM77" s="38"/>
      <c r="BN77" s="38"/>
      <c r="BO77" s="38"/>
      <c r="BP77" s="38"/>
      <c r="BQ77" s="38"/>
      <c r="BR77" s="38"/>
      <c r="BS77" s="38"/>
      <c r="BT77" s="38"/>
      <c r="BU77" s="38"/>
      <c r="BV77" s="38"/>
      <c r="BW77" s="38"/>
      <c r="BX77" s="38"/>
      <c r="BY77" s="38"/>
      <c r="BZ77" s="38"/>
      <c r="CA77" s="38"/>
      <c r="CB77" s="38"/>
    </row>
    <row r="78" spans="1:80" ht="12.95" customHeight="1">
      <c r="A78" s="38"/>
      <c r="B78" s="506"/>
      <c r="C78" s="38"/>
      <c r="D78" s="38"/>
      <c r="E78" s="38"/>
      <c r="F78" s="247"/>
      <c r="G78" s="247"/>
      <c r="H78" s="247"/>
      <c r="I78" s="38"/>
      <c r="J78" s="38"/>
      <c r="K78" s="38"/>
      <c r="L78" s="38"/>
      <c r="M78" s="38"/>
      <c r="N78" s="38"/>
      <c r="O78" s="38"/>
      <c r="P78" s="38"/>
      <c r="Q78" s="38"/>
      <c r="R78" s="38"/>
      <c r="S78" s="38"/>
      <c r="T78" s="38"/>
      <c r="U78" s="38"/>
      <c r="V78" s="38"/>
      <c r="W78" s="38"/>
      <c r="X78" s="38"/>
      <c r="Y78" s="38"/>
      <c r="Z78" s="38"/>
      <c r="AA78" s="38"/>
      <c r="AB78" s="38"/>
      <c r="AC78" s="38"/>
      <c r="AD78" s="38"/>
      <c r="AE78" s="38"/>
      <c r="AF78" s="38"/>
      <c r="AG78" s="38"/>
      <c r="AH78" s="38"/>
      <c r="AI78" s="38"/>
      <c r="AJ78" s="38"/>
      <c r="AK78" s="38"/>
      <c r="AL78" s="38"/>
      <c r="AM78" s="38"/>
      <c r="AN78" s="38"/>
      <c r="AO78" s="38"/>
      <c r="AP78" s="38"/>
      <c r="AQ78" s="38"/>
      <c r="AR78" s="38"/>
      <c r="AS78" s="38"/>
      <c r="AT78" s="38"/>
      <c r="AU78" s="38"/>
      <c r="AV78" s="38"/>
      <c r="AW78" s="38"/>
      <c r="AX78" s="38"/>
      <c r="AY78" s="38"/>
      <c r="AZ78" s="38"/>
      <c r="BA78" s="38"/>
      <c r="BB78" s="38"/>
      <c r="BC78" s="38"/>
      <c r="BD78" s="38"/>
      <c r="BE78" s="38"/>
      <c r="BF78" s="38"/>
      <c r="BJ78" s="38"/>
      <c r="BK78" s="38"/>
      <c r="BL78" s="38"/>
      <c r="BM78" s="38"/>
      <c r="BN78" s="38"/>
      <c r="BO78" s="38"/>
      <c r="BP78" s="38"/>
      <c r="BQ78" s="38"/>
      <c r="BR78" s="38"/>
      <c r="BS78" s="38"/>
      <c r="BT78" s="38"/>
      <c r="BU78" s="38"/>
      <c r="BV78" s="38"/>
      <c r="BW78" s="38"/>
      <c r="BX78" s="38"/>
      <c r="BY78" s="38"/>
      <c r="BZ78" s="38"/>
      <c r="CA78" s="38"/>
      <c r="CB78" s="38"/>
    </row>
    <row r="79" spans="1:80" ht="12.95" customHeight="1">
      <c r="A79" s="38"/>
      <c r="B79" s="506"/>
      <c r="C79" s="38"/>
      <c r="D79" s="38"/>
      <c r="E79" s="38"/>
      <c r="F79" s="38"/>
      <c r="G79" s="38"/>
      <c r="H79" s="38"/>
      <c r="I79" s="247"/>
      <c r="J79" s="247"/>
      <c r="K79" s="247"/>
      <c r="L79" s="247"/>
      <c r="M79" s="247"/>
      <c r="N79" s="38"/>
      <c r="O79" s="38"/>
      <c r="P79" s="38"/>
      <c r="Q79" s="38"/>
      <c r="R79" s="38"/>
      <c r="S79" s="38"/>
      <c r="T79" s="38"/>
      <c r="U79" s="38"/>
      <c r="V79" s="38"/>
      <c r="W79" s="38"/>
      <c r="X79" s="38"/>
      <c r="Y79" s="38"/>
      <c r="Z79" s="38"/>
      <c r="AA79" s="38"/>
      <c r="AB79" s="38"/>
      <c r="AC79" s="38"/>
      <c r="AD79" s="38"/>
      <c r="AE79" s="38"/>
      <c r="AF79" s="38"/>
      <c r="AG79" s="38"/>
      <c r="AH79" s="38"/>
      <c r="AI79" s="38"/>
      <c r="AJ79" s="38"/>
      <c r="AK79" s="38"/>
      <c r="AL79" s="38"/>
      <c r="AM79" s="38"/>
      <c r="AN79" s="38"/>
      <c r="AO79" s="38"/>
      <c r="AP79" s="38"/>
      <c r="AQ79" s="38"/>
      <c r="AR79" s="38"/>
      <c r="AS79" s="38"/>
      <c r="AT79" s="38"/>
      <c r="AU79" s="38"/>
      <c r="AV79" s="38"/>
      <c r="AW79" s="38"/>
      <c r="AX79" s="38"/>
      <c r="AY79" s="38"/>
      <c r="AZ79" s="38"/>
      <c r="BA79" s="38"/>
      <c r="BB79" s="38"/>
      <c r="BC79" s="38"/>
      <c r="BD79" s="38"/>
      <c r="BE79" s="38"/>
      <c r="BF79" s="38"/>
      <c r="BJ79" s="38"/>
      <c r="BK79" s="38"/>
      <c r="BL79" s="38"/>
      <c r="BM79" s="38"/>
      <c r="BN79" s="38"/>
      <c r="BO79" s="38"/>
      <c r="BP79" s="38"/>
      <c r="BQ79" s="38"/>
      <c r="BR79" s="38"/>
      <c r="BS79" s="38"/>
      <c r="BT79" s="38"/>
      <c r="BU79" s="38"/>
      <c r="BV79" s="38"/>
      <c r="BW79" s="38"/>
      <c r="BX79" s="38"/>
      <c r="BY79" s="38"/>
      <c r="BZ79" s="38"/>
      <c r="CA79" s="38"/>
      <c r="CB79" s="38"/>
    </row>
    <row r="80" spans="1:80" ht="12.95" customHeight="1">
      <c r="A80" s="38"/>
      <c r="B80" s="506"/>
      <c r="C80" s="38"/>
      <c r="D80" s="38"/>
      <c r="E80" s="38"/>
      <c r="F80" s="38"/>
      <c r="G80" s="38"/>
      <c r="H80" s="38"/>
      <c r="I80" s="38"/>
      <c r="J80" s="38"/>
      <c r="K80" s="38"/>
      <c r="L80" s="38"/>
      <c r="M80" s="38"/>
      <c r="N80" s="38"/>
      <c r="O80" s="38"/>
      <c r="P80" s="38"/>
      <c r="Q80" s="38"/>
      <c r="R80" s="38"/>
      <c r="S80" s="38"/>
      <c r="T80" s="38"/>
      <c r="U80" s="38"/>
      <c r="V80" s="38"/>
      <c r="W80" s="38"/>
      <c r="X80" s="38"/>
      <c r="Y80" s="38"/>
      <c r="Z80" s="38"/>
      <c r="AA80" s="38"/>
      <c r="AB80" s="38"/>
      <c r="AC80" s="38"/>
      <c r="AD80" s="38"/>
      <c r="AE80" s="38"/>
      <c r="AF80" s="38"/>
      <c r="AG80" s="38"/>
      <c r="AH80" s="38"/>
      <c r="AI80" s="38"/>
      <c r="AJ80" s="38"/>
      <c r="AK80" s="38"/>
      <c r="AL80" s="38"/>
      <c r="AM80" s="38"/>
      <c r="AN80" s="38"/>
      <c r="AO80" s="38"/>
      <c r="AP80" s="38"/>
      <c r="AQ80" s="38"/>
      <c r="AR80" s="38"/>
      <c r="AS80" s="38"/>
      <c r="AT80" s="38"/>
      <c r="AU80" s="38"/>
      <c r="AV80" s="38"/>
      <c r="AW80" s="38"/>
      <c r="AX80" s="38"/>
      <c r="AY80" s="38"/>
      <c r="AZ80" s="38"/>
      <c r="BA80" s="38"/>
      <c r="BB80" s="38"/>
      <c r="BC80" s="38"/>
      <c r="BD80" s="38"/>
      <c r="BE80" s="38"/>
      <c r="BF80" s="38"/>
      <c r="BJ80" s="38"/>
      <c r="BK80" s="38"/>
      <c r="BL80" s="38"/>
      <c r="BM80" s="38"/>
      <c r="BN80" s="38"/>
      <c r="BO80" s="38"/>
      <c r="BP80" s="38"/>
      <c r="BQ80" s="38"/>
      <c r="BR80" s="38"/>
      <c r="BS80" s="38"/>
      <c r="BT80" s="38"/>
      <c r="BU80" s="38"/>
      <c r="BV80" s="38"/>
      <c r="BW80" s="38"/>
      <c r="BX80" s="38"/>
      <c r="BY80" s="38"/>
      <c r="BZ80" s="38"/>
      <c r="CA80" s="38"/>
      <c r="CB80" s="38"/>
    </row>
    <row r="81" spans="1:80" ht="12.95" customHeight="1">
      <c r="A81" s="38"/>
      <c r="B81" s="506"/>
      <c r="C81" s="38"/>
      <c r="D81" s="38"/>
      <c r="E81" s="38"/>
      <c r="F81" s="38"/>
      <c r="G81" s="38"/>
      <c r="H81" s="38"/>
      <c r="I81" s="38"/>
      <c r="J81" s="38"/>
      <c r="K81" s="38"/>
      <c r="L81" s="38"/>
      <c r="M81" s="38"/>
      <c r="N81" s="38"/>
      <c r="O81" s="38"/>
      <c r="P81" s="38"/>
      <c r="Q81" s="38"/>
      <c r="R81" s="38"/>
      <c r="S81" s="38"/>
      <c r="T81" s="38"/>
      <c r="U81" s="38"/>
      <c r="V81" s="38"/>
      <c r="W81" s="38"/>
      <c r="X81" s="38"/>
      <c r="Y81" s="38"/>
      <c r="Z81" s="38"/>
      <c r="AA81" s="38"/>
      <c r="AB81" s="38"/>
      <c r="AC81" s="38"/>
      <c r="AD81" s="38"/>
      <c r="AE81" s="38"/>
      <c r="AF81" s="38"/>
      <c r="AG81" s="38"/>
      <c r="AH81" s="38"/>
      <c r="AI81" s="38"/>
      <c r="AJ81" s="38"/>
      <c r="AK81" s="38"/>
      <c r="AL81" s="38"/>
      <c r="AM81" s="38"/>
      <c r="AN81" s="38"/>
      <c r="AO81" s="38"/>
      <c r="AP81" s="38"/>
      <c r="AQ81" s="38"/>
      <c r="AR81" s="38"/>
      <c r="AS81" s="38"/>
      <c r="AT81" s="38"/>
      <c r="AU81" s="38"/>
      <c r="AV81" s="38"/>
      <c r="AW81" s="38"/>
      <c r="AX81" s="38"/>
      <c r="AY81" s="38"/>
      <c r="AZ81" s="38"/>
      <c r="BA81" s="38"/>
      <c r="BB81" s="38"/>
      <c r="BC81" s="38"/>
      <c r="BD81" s="38"/>
      <c r="BE81" s="38"/>
      <c r="BF81" s="38"/>
      <c r="BJ81" s="38"/>
      <c r="BK81" s="38"/>
      <c r="BL81" s="38"/>
      <c r="BM81" s="38"/>
      <c r="BN81" s="38"/>
      <c r="BO81" s="38"/>
      <c r="BP81" s="38"/>
      <c r="BQ81" s="38"/>
      <c r="BR81" s="38"/>
      <c r="BS81" s="38"/>
      <c r="BT81" s="38"/>
      <c r="BU81" s="38"/>
      <c r="BV81" s="38"/>
      <c r="BW81" s="38"/>
      <c r="BX81" s="38"/>
      <c r="BY81" s="38"/>
      <c r="BZ81" s="38"/>
      <c r="CA81" s="38"/>
      <c r="CB81" s="38"/>
    </row>
    <row r="82" spans="1:80" ht="12.95" customHeight="1">
      <c r="A82" s="38"/>
      <c r="B82" s="506"/>
      <c r="C82" s="38"/>
      <c r="D82" s="38"/>
      <c r="E82" s="38"/>
      <c r="F82" s="38"/>
      <c r="G82" s="38"/>
      <c r="H82" s="38"/>
      <c r="I82" s="38"/>
      <c r="J82" s="38"/>
      <c r="K82" s="38"/>
      <c r="L82" s="38"/>
      <c r="M82" s="38"/>
      <c r="N82" s="38"/>
      <c r="O82" s="38"/>
      <c r="P82" s="38"/>
      <c r="Q82" s="38"/>
      <c r="R82" s="38"/>
      <c r="S82" s="38"/>
      <c r="T82" s="38"/>
      <c r="U82" s="38"/>
      <c r="V82" s="38"/>
      <c r="W82" s="38"/>
      <c r="X82" s="38"/>
      <c r="Y82" s="38"/>
      <c r="Z82" s="38"/>
      <c r="AA82" s="38"/>
      <c r="AB82" s="38"/>
      <c r="AC82" s="38"/>
      <c r="AD82" s="38"/>
      <c r="AE82" s="38"/>
      <c r="AF82" s="38"/>
      <c r="AG82" s="38"/>
      <c r="AH82" s="38"/>
      <c r="AI82" s="38"/>
      <c r="AJ82" s="38"/>
      <c r="AK82" s="38"/>
      <c r="AL82" s="38"/>
      <c r="AM82" s="38"/>
      <c r="AN82" s="38"/>
      <c r="AO82" s="38"/>
      <c r="AP82" s="38"/>
      <c r="AQ82" s="38"/>
      <c r="AR82" s="38"/>
      <c r="AS82" s="38"/>
      <c r="AT82" s="38"/>
      <c r="AU82" s="38"/>
      <c r="AV82" s="38"/>
      <c r="AW82" s="38"/>
      <c r="AX82" s="38"/>
      <c r="AY82" s="38"/>
      <c r="AZ82" s="38"/>
      <c r="BA82" s="38"/>
      <c r="BB82" s="38"/>
      <c r="BC82" s="38"/>
      <c r="BD82" s="38"/>
      <c r="BE82" s="38"/>
      <c r="BF82" s="38"/>
      <c r="BJ82" s="38"/>
      <c r="BK82" s="38"/>
      <c r="BL82" s="38"/>
      <c r="BM82" s="38"/>
      <c r="BN82" s="38"/>
      <c r="BO82" s="38"/>
      <c r="BP82" s="38"/>
      <c r="BQ82" s="38"/>
      <c r="BR82" s="38"/>
      <c r="BS82" s="38"/>
      <c r="BT82" s="38"/>
      <c r="BU82" s="38"/>
      <c r="BV82" s="38"/>
      <c r="BW82" s="38"/>
      <c r="BX82" s="38"/>
      <c r="BY82" s="38"/>
      <c r="BZ82" s="38"/>
      <c r="CA82" s="38"/>
      <c r="CB82" s="38"/>
    </row>
    <row r="83" spans="1:80" ht="12.95" customHeight="1">
      <c r="A83" s="38"/>
      <c r="B83" s="518"/>
      <c r="C83" s="38"/>
      <c r="D83" s="38"/>
      <c r="E83" s="38"/>
      <c r="F83" s="38"/>
      <c r="G83" s="38"/>
      <c r="H83" s="38"/>
      <c r="I83" s="38"/>
      <c r="J83" s="38"/>
      <c r="K83" s="38"/>
      <c r="L83" s="38"/>
      <c r="M83" s="38"/>
      <c r="N83" s="38"/>
      <c r="O83" s="38"/>
      <c r="P83" s="38"/>
      <c r="Q83" s="38"/>
      <c r="R83" s="38"/>
      <c r="S83" s="38"/>
      <c r="T83" s="38"/>
      <c r="U83" s="38"/>
      <c r="V83" s="38"/>
      <c r="W83" s="38"/>
      <c r="X83" s="38"/>
      <c r="Y83" s="38"/>
      <c r="Z83" s="38"/>
      <c r="AA83" s="38"/>
      <c r="AB83" s="38"/>
      <c r="AC83" s="38"/>
      <c r="AD83" s="38"/>
      <c r="AE83" s="38"/>
      <c r="AF83" s="38"/>
      <c r="AG83" s="38"/>
      <c r="AH83" s="38"/>
      <c r="AI83" s="38"/>
      <c r="AJ83" s="38"/>
      <c r="AK83" s="38"/>
      <c r="AL83" s="38"/>
      <c r="AM83" s="38"/>
      <c r="AN83" s="38"/>
      <c r="AO83" s="38"/>
      <c r="AP83" s="38"/>
      <c r="AQ83" s="38"/>
      <c r="AR83" s="38"/>
      <c r="AS83" s="38"/>
      <c r="AT83" s="38"/>
      <c r="AU83" s="38"/>
      <c r="AV83" s="38"/>
      <c r="AW83" s="38"/>
      <c r="AX83" s="38"/>
      <c r="AY83" s="38"/>
      <c r="AZ83" s="38"/>
      <c r="BA83" s="38"/>
      <c r="BB83" s="38"/>
      <c r="BC83" s="38"/>
      <c r="BD83" s="38"/>
      <c r="BE83" s="38"/>
      <c r="BF83" s="38"/>
      <c r="BJ83" s="38"/>
      <c r="BK83" s="38"/>
      <c r="BL83" s="38"/>
      <c r="BM83" s="38"/>
      <c r="BN83" s="38"/>
      <c r="BO83" s="38"/>
      <c r="BP83" s="38"/>
      <c r="BQ83" s="38"/>
      <c r="BR83" s="38"/>
      <c r="BS83" s="38"/>
      <c r="BT83" s="38"/>
      <c r="BU83" s="38"/>
      <c r="BV83" s="38"/>
      <c r="BW83" s="38"/>
      <c r="BX83" s="38"/>
      <c r="BY83" s="38"/>
      <c r="BZ83" s="38"/>
      <c r="CA83" s="38"/>
      <c r="CB83" s="38"/>
    </row>
    <row r="84" spans="1:80" ht="12.95" customHeight="1">
      <c r="A84" s="38"/>
      <c r="B84" s="506"/>
      <c r="C84" s="38"/>
      <c r="D84" s="38"/>
      <c r="E84" s="38"/>
      <c r="F84" s="38"/>
      <c r="G84" s="38"/>
      <c r="H84" s="38"/>
      <c r="I84" s="38"/>
      <c r="J84" s="38"/>
      <c r="K84" s="38"/>
      <c r="L84" s="38"/>
      <c r="M84" s="38"/>
      <c r="N84" s="38"/>
      <c r="O84" s="38"/>
      <c r="P84" s="38"/>
      <c r="Q84" s="38"/>
      <c r="R84" s="38"/>
      <c r="S84" s="38"/>
      <c r="T84" s="38"/>
      <c r="U84" s="38"/>
      <c r="V84" s="38"/>
      <c r="W84" s="38"/>
      <c r="X84" s="38"/>
      <c r="Y84" s="38"/>
      <c r="Z84" s="38"/>
      <c r="AA84" s="38"/>
      <c r="AB84" s="38"/>
      <c r="AC84" s="38"/>
      <c r="AD84" s="38"/>
      <c r="AE84" s="38"/>
      <c r="AF84" s="38"/>
      <c r="AG84" s="38"/>
      <c r="AH84" s="38"/>
      <c r="AI84" s="38"/>
      <c r="AJ84" s="38"/>
      <c r="AK84" s="38"/>
      <c r="AL84" s="38"/>
      <c r="AM84" s="38"/>
      <c r="AN84" s="38"/>
      <c r="AO84" s="38"/>
      <c r="AP84" s="38"/>
      <c r="AQ84" s="38"/>
      <c r="AR84" s="38"/>
      <c r="AS84" s="38"/>
      <c r="AT84" s="38"/>
      <c r="AU84" s="38"/>
      <c r="AV84" s="38"/>
      <c r="AW84" s="38"/>
      <c r="AX84" s="38"/>
      <c r="AY84" s="38"/>
      <c r="AZ84" s="38"/>
      <c r="BA84" s="38"/>
      <c r="BB84" s="38"/>
      <c r="BC84" s="38"/>
      <c r="BD84" s="38"/>
      <c r="BE84" s="38"/>
      <c r="BF84" s="38"/>
      <c r="BJ84" s="38"/>
      <c r="BK84" s="38"/>
      <c r="BL84" s="38"/>
      <c r="BM84" s="38"/>
      <c r="BN84" s="38"/>
      <c r="BO84" s="38"/>
      <c r="BP84" s="38"/>
      <c r="BQ84" s="38"/>
      <c r="BR84" s="38"/>
      <c r="BS84" s="38"/>
      <c r="BT84" s="38"/>
      <c r="BU84" s="38"/>
      <c r="BV84" s="38"/>
      <c r="BW84" s="38"/>
      <c r="BX84" s="38"/>
      <c r="BY84" s="38"/>
      <c r="BZ84" s="38"/>
      <c r="CA84" s="38"/>
      <c r="CB84" s="38"/>
    </row>
    <row r="85" spans="1:80" ht="12.95" customHeight="1">
      <c r="A85" s="38"/>
      <c r="B85" s="506"/>
      <c r="C85" s="38"/>
      <c r="D85" s="38"/>
      <c r="E85" s="38"/>
      <c r="F85" s="38"/>
      <c r="G85" s="38"/>
      <c r="H85" s="38"/>
      <c r="I85" s="38"/>
      <c r="J85" s="38"/>
      <c r="K85" s="38"/>
      <c r="L85" s="38"/>
      <c r="M85" s="38"/>
      <c r="N85" s="38"/>
      <c r="O85" s="38"/>
      <c r="P85" s="38"/>
      <c r="Q85" s="38"/>
      <c r="R85" s="38"/>
      <c r="S85" s="38"/>
      <c r="T85" s="38"/>
      <c r="U85" s="38"/>
      <c r="V85" s="38"/>
      <c r="W85" s="38"/>
      <c r="X85" s="38"/>
      <c r="Y85" s="38"/>
      <c r="Z85" s="38"/>
      <c r="AA85" s="38"/>
      <c r="AB85" s="38"/>
      <c r="AC85" s="38"/>
      <c r="AD85" s="38"/>
      <c r="AE85" s="38"/>
      <c r="AF85" s="38"/>
      <c r="AG85" s="38"/>
      <c r="AH85" s="38"/>
      <c r="AI85" s="38"/>
      <c r="AJ85" s="38"/>
      <c r="AK85" s="38"/>
      <c r="AL85" s="38"/>
      <c r="AM85" s="38"/>
      <c r="AN85" s="38"/>
      <c r="AO85" s="38"/>
      <c r="AP85" s="38"/>
      <c r="AQ85" s="38"/>
      <c r="AR85" s="38"/>
      <c r="AS85" s="38"/>
      <c r="AT85" s="38"/>
      <c r="AU85" s="38"/>
      <c r="AV85" s="38"/>
      <c r="AW85" s="38"/>
      <c r="AX85" s="38"/>
      <c r="AY85" s="38"/>
      <c r="AZ85" s="38"/>
      <c r="BA85" s="38"/>
      <c r="BB85" s="38"/>
      <c r="BC85" s="38"/>
      <c r="BD85" s="38"/>
      <c r="BE85" s="38"/>
      <c r="BF85" s="38"/>
      <c r="BJ85" s="38"/>
      <c r="BK85" s="38"/>
      <c r="BL85" s="38"/>
      <c r="BM85" s="38"/>
      <c r="BN85" s="38"/>
      <c r="BO85" s="38"/>
      <c r="BP85" s="38"/>
      <c r="BQ85" s="38"/>
      <c r="BR85" s="38"/>
      <c r="BS85" s="38"/>
      <c r="BT85" s="38"/>
      <c r="BU85" s="38"/>
      <c r="BV85" s="38"/>
      <c r="BW85" s="38"/>
      <c r="BX85" s="38"/>
      <c r="BY85" s="38"/>
      <c r="BZ85" s="38"/>
      <c r="CA85" s="38"/>
      <c r="CB85" s="38"/>
    </row>
    <row r="86" spans="1:80" ht="12.95" customHeight="1">
      <c r="A86" s="38"/>
      <c r="B86" s="506"/>
      <c r="C86" s="38"/>
      <c r="D86" s="38"/>
      <c r="E86" s="38"/>
      <c r="F86" s="38"/>
      <c r="G86" s="38"/>
      <c r="H86" s="38"/>
      <c r="I86" s="38"/>
      <c r="J86" s="38"/>
      <c r="K86" s="38"/>
      <c r="L86" s="38"/>
      <c r="M86" s="38"/>
      <c r="N86" s="38"/>
      <c r="O86" s="38"/>
      <c r="P86" s="38"/>
      <c r="Q86" s="38"/>
      <c r="R86" s="38"/>
      <c r="S86" s="38"/>
      <c r="T86" s="38"/>
      <c r="U86" s="38"/>
      <c r="V86" s="38"/>
      <c r="W86" s="38"/>
      <c r="X86" s="38"/>
      <c r="Y86" s="38"/>
      <c r="Z86" s="38"/>
      <c r="AA86" s="38"/>
      <c r="AB86" s="38"/>
      <c r="AC86" s="38"/>
      <c r="AD86" s="38"/>
      <c r="AE86" s="38"/>
      <c r="AF86" s="38"/>
      <c r="AG86" s="38"/>
      <c r="AH86" s="38"/>
      <c r="AI86" s="38"/>
      <c r="AJ86" s="38"/>
      <c r="AK86" s="38"/>
      <c r="AL86" s="38"/>
      <c r="AM86" s="38"/>
      <c r="AN86" s="38"/>
      <c r="AO86" s="38"/>
      <c r="AP86" s="38"/>
      <c r="AQ86" s="38"/>
      <c r="AR86" s="38"/>
      <c r="AS86" s="38"/>
      <c r="AT86" s="38"/>
      <c r="AU86" s="38"/>
      <c r="AV86" s="38"/>
      <c r="AW86" s="38"/>
      <c r="AX86" s="38"/>
      <c r="AY86" s="38"/>
      <c r="AZ86" s="38"/>
      <c r="BA86" s="38"/>
      <c r="BB86" s="38"/>
      <c r="BC86" s="38"/>
      <c r="BD86" s="38"/>
      <c r="BE86" s="38"/>
      <c r="BF86" s="38"/>
      <c r="BJ86" s="38"/>
      <c r="BK86" s="38"/>
      <c r="BL86" s="38"/>
      <c r="BM86" s="38"/>
      <c r="BN86" s="38"/>
      <c r="BO86" s="38"/>
      <c r="BP86" s="38"/>
      <c r="BQ86" s="38"/>
      <c r="BR86" s="38"/>
      <c r="BS86" s="38"/>
      <c r="BT86" s="38"/>
      <c r="BU86" s="38"/>
      <c r="BV86" s="38"/>
      <c r="BW86" s="38"/>
      <c r="BX86" s="38"/>
      <c r="BY86" s="38"/>
      <c r="BZ86" s="38"/>
      <c r="CA86" s="38"/>
      <c r="CB86" s="38"/>
    </row>
    <row r="87" spans="1:80" ht="12.95" customHeight="1">
      <c r="A87" s="38"/>
      <c r="B87" s="506"/>
      <c r="C87" s="38"/>
      <c r="D87" s="38"/>
      <c r="E87" s="38"/>
      <c r="F87" s="38"/>
      <c r="G87" s="38"/>
      <c r="H87" s="38"/>
      <c r="I87" s="38"/>
      <c r="J87" s="38"/>
      <c r="K87" s="38"/>
      <c r="L87" s="38"/>
      <c r="M87" s="38"/>
      <c r="N87" s="38"/>
      <c r="O87" s="38"/>
      <c r="P87" s="38"/>
      <c r="Q87" s="38"/>
      <c r="R87" s="38"/>
      <c r="S87" s="38"/>
      <c r="T87" s="38"/>
      <c r="U87" s="38"/>
      <c r="V87" s="38"/>
      <c r="W87" s="38"/>
      <c r="X87" s="38"/>
      <c r="Y87" s="38"/>
      <c r="Z87" s="38"/>
      <c r="AA87" s="38"/>
      <c r="AB87" s="38"/>
      <c r="AC87" s="38"/>
      <c r="AD87" s="38"/>
      <c r="AE87" s="38"/>
      <c r="AF87" s="38"/>
      <c r="AG87" s="38"/>
      <c r="AH87" s="38"/>
      <c r="AI87" s="38"/>
      <c r="AJ87" s="38"/>
      <c r="AK87" s="38"/>
      <c r="AL87" s="38"/>
      <c r="AM87" s="38"/>
      <c r="AN87" s="38"/>
      <c r="AO87" s="38"/>
      <c r="AP87" s="38"/>
      <c r="AQ87" s="38"/>
      <c r="AR87" s="38"/>
      <c r="AS87" s="38"/>
      <c r="AT87" s="38"/>
      <c r="AU87" s="38"/>
      <c r="AV87" s="38"/>
      <c r="AW87" s="38"/>
      <c r="AX87" s="38"/>
      <c r="AY87" s="38"/>
      <c r="AZ87" s="38"/>
      <c r="BA87" s="38"/>
      <c r="BB87" s="38"/>
      <c r="BC87" s="38"/>
      <c r="BD87" s="38"/>
      <c r="BE87" s="38"/>
      <c r="BF87" s="38"/>
      <c r="BJ87" s="38"/>
      <c r="BK87" s="38"/>
      <c r="BL87" s="38"/>
      <c r="BM87" s="38"/>
      <c r="BN87" s="38"/>
      <c r="BO87" s="38"/>
      <c r="BP87" s="38"/>
      <c r="BQ87" s="38"/>
      <c r="BR87" s="38"/>
      <c r="BS87" s="38"/>
      <c r="BT87" s="38"/>
      <c r="BU87" s="38"/>
      <c r="BV87" s="38"/>
      <c r="BW87" s="38"/>
      <c r="BX87" s="38"/>
      <c r="BY87" s="38"/>
      <c r="BZ87" s="38"/>
      <c r="CA87" s="38"/>
      <c r="CB87" s="38"/>
    </row>
    <row r="88" spans="1:80" ht="12.95" customHeight="1">
      <c r="A88" s="38"/>
      <c r="B88" s="506"/>
      <c r="C88" s="38"/>
      <c r="D88" s="38"/>
      <c r="E88" s="38"/>
      <c r="F88" s="38"/>
      <c r="G88" s="38"/>
      <c r="H88" s="38"/>
      <c r="I88" s="38"/>
      <c r="J88" s="38"/>
      <c r="K88" s="38"/>
      <c r="L88" s="38"/>
      <c r="M88" s="38"/>
      <c r="N88" s="247"/>
      <c r="O88" s="247"/>
      <c r="P88" s="247"/>
      <c r="Q88" s="247"/>
      <c r="R88" s="247"/>
      <c r="S88" s="247"/>
      <c r="T88" s="247"/>
      <c r="U88" s="247"/>
      <c r="V88" s="38"/>
      <c r="W88" s="38"/>
      <c r="X88" s="38"/>
      <c r="Y88" s="38"/>
      <c r="Z88" s="38"/>
      <c r="AA88" s="38"/>
      <c r="AB88" s="38"/>
      <c r="AC88" s="38"/>
      <c r="AD88" s="38"/>
      <c r="AE88" s="38"/>
      <c r="AF88" s="38"/>
      <c r="AG88" s="38"/>
      <c r="AH88" s="38"/>
      <c r="AI88" s="38"/>
      <c r="AJ88" s="38"/>
      <c r="AK88" s="38"/>
      <c r="AL88" s="38"/>
      <c r="AM88" s="38"/>
      <c r="AN88" s="38"/>
      <c r="AO88" s="38"/>
      <c r="AP88" s="38"/>
      <c r="AQ88" s="38"/>
      <c r="AR88" s="38"/>
      <c r="AS88" s="38"/>
      <c r="AT88" s="38"/>
      <c r="AU88" s="38"/>
      <c r="AV88" s="38"/>
      <c r="AW88" s="38"/>
      <c r="AX88" s="38"/>
      <c r="AY88" s="38"/>
      <c r="AZ88" s="38"/>
      <c r="BA88" s="38"/>
      <c r="BB88" s="38"/>
      <c r="BC88" s="38"/>
      <c r="BD88" s="38"/>
      <c r="BE88" s="38"/>
      <c r="BF88" s="38"/>
      <c r="BJ88" s="38"/>
      <c r="BK88" s="38"/>
      <c r="BL88" s="38"/>
      <c r="BM88" s="38"/>
      <c r="BN88" s="38"/>
      <c r="BO88" s="38"/>
      <c r="BP88" s="38"/>
      <c r="BQ88" s="38"/>
      <c r="BR88" s="38"/>
      <c r="BS88" s="38"/>
      <c r="BT88" s="38"/>
      <c r="BU88" s="38"/>
      <c r="BV88" s="38"/>
      <c r="BW88" s="38"/>
      <c r="BX88" s="38"/>
      <c r="BY88" s="38"/>
      <c r="BZ88" s="38"/>
      <c r="CA88" s="38"/>
      <c r="CB88" s="38"/>
    </row>
    <row r="89" spans="1:80" ht="12.95" customHeight="1">
      <c r="A89" s="38"/>
      <c r="B89" s="506"/>
      <c r="C89" s="38"/>
      <c r="D89" s="38"/>
      <c r="E89" s="38"/>
      <c r="F89" s="38"/>
      <c r="G89" s="38"/>
      <c r="H89" s="38"/>
      <c r="I89" s="38"/>
      <c r="J89" s="38"/>
      <c r="K89" s="38"/>
      <c r="L89" s="38"/>
      <c r="M89" s="38"/>
      <c r="N89" s="38"/>
      <c r="O89" s="38"/>
      <c r="P89" s="38"/>
      <c r="Q89" s="38"/>
      <c r="R89" s="38"/>
      <c r="S89" s="38"/>
      <c r="T89" s="38"/>
      <c r="U89" s="38"/>
      <c r="V89" s="38"/>
      <c r="W89" s="38"/>
      <c r="X89" s="38"/>
      <c r="Y89" s="38"/>
      <c r="Z89" s="38"/>
      <c r="AA89" s="38"/>
      <c r="AB89" s="38"/>
      <c r="AC89" s="38"/>
      <c r="AD89" s="38"/>
      <c r="AE89" s="38"/>
      <c r="AF89" s="38"/>
      <c r="AG89" s="38"/>
      <c r="AH89" s="38"/>
      <c r="AI89" s="38"/>
      <c r="AJ89" s="38"/>
      <c r="AK89" s="38"/>
      <c r="AL89" s="38"/>
      <c r="AM89" s="38"/>
      <c r="AN89" s="38"/>
      <c r="AO89" s="38"/>
      <c r="AP89" s="38"/>
      <c r="AQ89" s="38"/>
      <c r="AR89" s="38"/>
      <c r="AS89" s="38"/>
      <c r="AT89" s="38"/>
      <c r="AU89" s="38"/>
      <c r="AV89" s="38"/>
      <c r="AW89" s="38"/>
      <c r="AX89" s="38"/>
      <c r="AY89" s="38"/>
      <c r="AZ89" s="38"/>
      <c r="BA89" s="38"/>
      <c r="BB89" s="38"/>
      <c r="BC89" s="38"/>
      <c r="BD89" s="38"/>
      <c r="BE89" s="38"/>
      <c r="BF89" s="38"/>
      <c r="BJ89" s="38"/>
      <c r="BK89" s="38"/>
      <c r="BL89" s="38"/>
      <c r="BM89" s="38"/>
      <c r="BN89" s="38"/>
      <c r="BO89" s="38"/>
      <c r="BP89" s="38"/>
      <c r="BQ89" s="38"/>
      <c r="BR89" s="38"/>
      <c r="BS89" s="38"/>
      <c r="BT89" s="38"/>
      <c r="BU89" s="38"/>
      <c r="BV89" s="38"/>
      <c r="BW89" s="38"/>
      <c r="BX89" s="38"/>
      <c r="BY89" s="38"/>
      <c r="BZ89" s="38"/>
      <c r="CA89" s="38"/>
      <c r="CB89" s="38"/>
    </row>
    <row r="90" spans="1:80" ht="12.95" customHeight="1">
      <c r="A90" s="38"/>
      <c r="B90" s="506"/>
      <c r="C90" s="38"/>
      <c r="D90" s="38"/>
      <c r="E90" s="38"/>
      <c r="F90" s="38"/>
      <c r="G90" s="38"/>
      <c r="H90" s="38"/>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c r="BE90" s="38"/>
      <c r="BF90" s="38"/>
      <c r="BJ90" s="38"/>
      <c r="BK90" s="38"/>
      <c r="BL90" s="38"/>
      <c r="BM90" s="38"/>
      <c r="BN90" s="38"/>
      <c r="BO90" s="38"/>
      <c r="BP90" s="38"/>
      <c r="BQ90" s="38"/>
      <c r="BR90" s="38"/>
      <c r="BS90" s="38"/>
      <c r="BT90" s="38"/>
      <c r="BU90" s="38"/>
      <c r="BV90" s="38"/>
      <c r="BW90" s="38"/>
      <c r="BX90" s="38"/>
      <c r="BY90" s="38"/>
      <c r="BZ90" s="38"/>
      <c r="CA90" s="38"/>
      <c r="CB90" s="38"/>
    </row>
    <row r="91" spans="1:80" ht="12.95" customHeight="1">
      <c r="A91" s="38"/>
      <c r="B91" s="506"/>
      <c r="C91" s="38"/>
      <c r="D91" s="38"/>
      <c r="E91" s="38"/>
      <c r="F91" s="38"/>
      <c r="G91" s="38"/>
      <c r="H91" s="38"/>
      <c r="I91" s="38"/>
      <c r="J91" s="38"/>
      <c r="K91" s="38"/>
      <c r="L91" s="38"/>
      <c r="M91" s="38"/>
      <c r="N91" s="38"/>
      <c r="O91" s="38"/>
      <c r="P91" s="38"/>
      <c r="Q91" s="38"/>
      <c r="R91" s="38"/>
      <c r="S91" s="38"/>
      <c r="T91" s="38"/>
      <c r="U91" s="38"/>
      <c r="V91" s="38"/>
      <c r="W91" s="38"/>
      <c r="X91" s="38"/>
      <c r="Y91" s="38"/>
      <c r="Z91" s="38"/>
      <c r="AA91" s="38"/>
      <c r="AB91" s="38"/>
      <c r="AC91" s="38"/>
      <c r="AD91" s="38"/>
      <c r="AE91" s="38"/>
      <c r="AF91" s="38"/>
      <c r="AG91" s="38"/>
      <c r="AH91" s="38"/>
      <c r="AI91" s="38"/>
      <c r="AJ91" s="38"/>
      <c r="AK91" s="38"/>
      <c r="AL91" s="38"/>
      <c r="AM91" s="38"/>
      <c r="AN91" s="38"/>
      <c r="AO91" s="38"/>
      <c r="AP91" s="38"/>
      <c r="AQ91" s="38"/>
      <c r="AR91" s="38"/>
      <c r="AS91" s="38"/>
      <c r="AT91" s="38"/>
      <c r="AU91" s="38"/>
      <c r="AV91" s="38"/>
      <c r="AW91" s="38"/>
      <c r="AX91" s="38"/>
      <c r="AY91" s="38"/>
      <c r="AZ91" s="38"/>
      <c r="BA91" s="38"/>
      <c r="BB91" s="38"/>
      <c r="BC91" s="38"/>
      <c r="BD91" s="38"/>
      <c r="BE91" s="38"/>
      <c r="BF91" s="38"/>
      <c r="BJ91" s="38"/>
      <c r="BK91" s="38"/>
      <c r="BL91" s="38"/>
      <c r="BM91" s="38"/>
      <c r="BN91" s="38"/>
      <c r="BO91" s="38"/>
      <c r="BP91" s="38"/>
      <c r="BQ91" s="38"/>
      <c r="BR91" s="38"/>
      <c r="BS91" s="38"/>
      <c r="BT91" s="38"/>
      <c r="BU91" s="38"/>
      <c r="BV91" s="38"/>
      <c r="BW91" s="38"/>
      <c r="BX91" s="38"/>
      <c r="BY91" s="38"/>
      <c r="BZ91" s="38"/>
      <c r="CA91" s="38"/>
      <c r="CB91" s="38"/>
    </row>
    <row r="92" spans="1:80" ht="12.95" customHeight="1">
      <c r="A92" s="38"/>
      <c r="B92" s="506"/>
      <c r="C92" s="38"/>
      <c r="D92" s="38"/>
      <c r="E92" s="248"/>
      <c r="F92" s="248"/>
      <c r="G92" s="248"/>
      <c r="H92" s="248"/>
      <c r="I92" s="38"/>
      <c r="J92" s="38"/>
      <c r="K92" s="38"/>
      <c r="L92" s="38"/>
      <c r="M92" s="38"/>
      <c r="N92" s="38"/>
      <c r="O92" s="38"/>
      <c r="P92" s="38"/>
      <c r="Q92" s="38"/>
      <c r="R92" s="38"/>
      <c r="S92" s="38"/>
      <c r="T92" s="38"/>
      <c r="U92" s="38"/>
      <c r="V92" s="38"/>
      <c r="W92" s="38"/>
      <c r="X92" s="38"/>
      <c r="Y92" s="38"/>
      <c r="Z92" s="38"/>
      <c r="AA92" s="38"/>
      <c r="AB92" s="38"/>
      <c r="AC92" s="38"/>
      <c r="AD92" s="38"/>
      <c r="AE92" s="38"/>
      <c r="AF92" s="38"/>
      <c r="AG92" s="38"/>
      <c r="AH92" s="38"/>
      <c r="AI92" s="38"/>
      <c r="AJ92" s="38"/>
      <c r="AK92" s="38"/>
      <c r="AL92" s="38"/>
      <c r="AM92" s="38"/>
      <c r="AN92" s="38"/>
      <c r="AO92" s="38"/>
      <c r="AP92" s="38"/>
      <c r="AQ92" s="38"/>
      <c r="AR92" s="38"/>
      <c r="AS92" s="38"/>
      <c r="AT92" s="38"/>
      <c r="AU92" s="38"/>
      <c r="AV92" s="38"/>
      <c r="AW92" s="38"/>
      <c r="AX92" s="38"/>
      <c r="AY92" s="38"/>
      <c r="AZ92" s="38"/>
      <c r="BA92" s="38"/>
      <c r="BB92" s="38"/>
      <c r="BC92" s="38"/>
      <c r="BD92" s="38"/>
      <c r="BE92" s="38"/>
      <c r="BF92" s="38"/>
      <c r="BJ92" s="38"/>
      <c r="BK92" s="38"/>
      <c r="BL92" s="38"/>
      <c r="BM92" s="38"/>
      <c r="BN92" s="38"/>
      <c r="BO92" s="38"/>
      <c r="BP92" s="38"/>
      <c r="BQ92" s="38"/>
      <c r="BR92" s="38"/>
      <c r="BS92" s="38"/>
      <c r="BT92" s="38"/>
      <c r="BU92" s="38"/>
      <c r="BV92" s="38"/>
      <c r="BW92" s="38"/>
      <c r="BX92" s="38"/>
      <c r="BY92" s="38"/>
      <c r="BZ92" s="38"/>
      <c r="CA92" s="38"/>
      <c r="CB92" s="38"/>
    </row>
    <row r="93" spans="1:80" ht="12.95" customHeight="1">
      <c r="A93" s="38"/>
      <c r="B93" s="506"/>
      <c r="C93" s="38"/>
      <c r="D93" s="38"/>
      <c r="E93" s="38"/>
      <c r="F93" s="38"/>
      <c r="G93" s="38"/>
      <c r="H93" s="38"/>
      <c r="I93" s="247"/>
      <c r="J93" s="247"/>
      <c r="K93" s="247"/>
      <c r="L93" s="247"/>
      <c r="M93" s="247"/>
      <c r="N93" s="38"/>
      <c r="O93" s="38"/>
      <c r="P93" s="38"/>
      <c r="Q93" s="38"/>
      <c r="R93" s="38"/>
      <c r="S93" s="38"/>
      <c r="T93" s="38"/>
      <c r="U93" s="38"/>
      <c r="V93" s="38"/>
      <c r="W93" s="38"/>
      <c r="X93" s="38"/>
      <c r="Y93" s="38"/>
      <c r="Z93" s="38"/>
      <c r="AA93" s="38"/>
      <c r="AB93" s="38"/>
      <c r="AC93" s="38"/>
      <c r="AD93" s="38"/>
      <c r="AE93" s="38"/>
      <c r="AF93" s="38"/>
      <c r="AG93" s="38"/>
      <c r="AH93" s="38"/>
      <c r="AI93" s="38"/>
      <c r="AJ93" s="38"/>
      <c r="AK93" s="38"/>
      <c r="AL93" s="38"/>
      <c r="AM93" s="38"/>
      <c r="AN93" s="38"/>
      <c r="AO93" s="38"/>
      <c r="AP93" s="38"/>
      <c r="AQ93" s="38"/>
      <c r="AR93" s="38"/>
      <c r="AS93" s="38"/>
      <c r="AT93" s="38"/>
      <c r="AU93" s="38"/>
      <c r="AV93" s="38"/>
      <c r="AW93" s="38"/>
      <c r="AX93" s="38"/>
      <c r="AY93" s="38"/>
      <c r="AZ93" s="38"/>
      <c r="BA93" s="38"/>
      <c r="BB93" s="38"/>
      <c r="BC93" s="38"/>
      <c r="BD93" s="38"/>
      <c r="BE93" s="38"/>
      <c r="BF93" s="38"/>
      <c r="BJ93" s="38"/>
      <c r="BK93" s="38"/>
      <c r="BL93" s="38"/>
      <c r="BM93" s="38"/>
      <c r="BN93" s="38"/>
      <c r="BO93" s="38"/>
      <c r="BP93" s="38"/>
      <c r="BQ93" s="38"/>
      <c r="BR93" s="38"/>
      <c r="BS93" s="38"/>
      <c r="BT93" s="38"/>
      <c r="BU93" s="38"/>
      <c r="BV93" s="38"/>
      <c r="BW93" s="38"/>
      <c r="BX93" s="38"/>
      <c r="BY93" s="38"/>
      <c r="BZ93" s="38"/>
      <c r="CA93" s="38"/>
      <c r="CB93" s="38"/>
    </row>
    <row r="94" spans="1:80" ht="12.95" customHeight="1">
      <c r="A94" s="38"/>
      <c r="B94" s="506"/>
      <c r="C94" s="38"/>
      <c r="D94" s="38"/>
      <c r="E94" s="38"/>
      <c r="F94" s="38"/>
      <c r="G94" s="38"/>
      <c r="H94" s="38"/>
      <c r="I94" s="38"/>
      <c r="J94" s="38"/>
      <c r="K94" s="38"/>
      <c r="L94" s="38"/>
      <c r="M94" s="38"/>
      <c r="N94" s="38"/>
      <c r="O94" s="38"/>
      <c r="P94" s="38"/>
      <c r="Q94" s="38"/>
      <c r="R94" s="38"/>
      <c r="S94" s="38"/>
      <c r="T94" s="38"/>
      <c r="U94" s="38"/>
      <c r="V94" s="38"/>
      <c r="W94" s="38"/>
      <c r="X94" s="38"/>
      <c r="Y94" s="38"/>
      <c r="Z94" s="38"/>
      <c r="AA94" s="38"/>
      <c r="AB94" s="38"/>
      <c r="AC94" s="38"/>
      <c r="AD94" s="38"/>
      <c r="AE94" s="38"/>
      <c r="AF94" s="38"/>
      <c r="AG94" s="38"/>
      <c r="AH94" s="38"/>
      <c r="AI94" s="38"/>
      <c r="AJ94" s="38"/>
      <c r="AK94" s="38"/>
      <c r="AL94" s="38"/>
      <c r="AM94" s="38"/>
      <c r="AN94" s="38"/>
      <c r="AO94" s="38"/>
      <c r="AP94" s="38"/>
      <c r="AQ94" s="38"/>
      <c r="AR94" s="38"/>
      <c r="AS94" s="38"/>
      <c r="AT94" s="38"/>
      <c r="AU94" s="38"/>
      <c r="AV94" s="38"/>
      <c r="AW94" s="38"/>
      <c r="AX94" s="38"/>
      <c r="AY94" s="38"/>
      <c r="AZ94" s="38"/>
      <c r="BA94" s="38"/>
      <c r="BB94" s="38"/>
      <c r="BC94" s="38"/>
      <c r="BD94" s="38"/>
      <c r="BE94" s="38"/>
      <c r="BF94" s="38"/>
      <c r="BJ94" s="38"/>
      <c r="BK94" s="38"/>
      <c r="BL94" s="38"/>
      <c r="BM94" s="38"/>
      <c r="BN94" s="38"/>
      <c r="BO94" s="38"/>
      <c r="BP94" s="38"/>
      <c r="BQ94" s="38"/>
      <c r="BR94" s="38"/>
      <c r="BS94" s="38"/>
      <c r="BT94" s="38"/>
      <c r="BU94" s="38"/>
      <c r="BV94" s="38"/>
      <c r="BW94" s="38"/>
      <c r="BX94" s="38"/>
      <c r="BY94" s="38"/>
      <c r="BZ94" s="38"/>
      <c r="CA94" s="38"/>
      <c r="CB94" s="38"/>
    </row>
    <row r="95" spans="1:80" ht="12.95" customHeight="1">
      <c r="A95" s="38"/>
      <c r="B95" s="506"/>
      <c r="C95" s="38"/>
      <c r="D95" s="38"/>
      <c r="E95" s="38"/>
      <c r="F95" s="38"/>
      <c r="G95" s="38"/>
      <c r="H95" s="38"/>
      <c r="I95" s="38"/>
      <c r="J95" s="38"/>
      <c r="K95" s="38"/>
      <c r="L95" s="38"/>
      <c r="M95" s="38"/>
      <c r="N95" s="38"/>
      <c r="O95" s="38"/>
      <c r="P95" s="38"/>
      <c r="Q95" s="38"/>
      <c r="R95" s="38"/>
      <c r="S95" s="38"/>
      <c r="T95" s="38"/>
      <c r="U95" s="38"/>
      <c r="V95" s="38"/>
      <c r="W95" s="38"/>
      <c r="X95" s="38"/>
      <c r="Y95" s="38"/>
      <c r="Z95" s="38"/>
      <c r="AA95" s="38"/>
      <c r="AB95" s="38"/>
      <c r="AC95" s="38"/>
      <c r="AD95" s="38"/>
      <c r="AE95" s="38"/>
      <c r="AF95" s="38"/>
      <c r="AG95" s="38"/>
      <c r="AH95" s="38"/>
      <c r="AI95" s="38"/>
      <c r="AJ95" s="38"/>
      <c r="AK95" s="38"/>
      <c r="AL95" s="38"/>
      <c r="AM95" s="38"/>
      <c r="AN95" s="38"/>
      <c r="AO95" s="38"/>
      <c r="AP95" s="38"/>
      <c r="AQ95" s="38"/>
      <c r="AR95" s="38"/>
      <c r="AS95" s="38"/>
      <c r="AT95" s="38"/>
      <c r="AU95" s="38"/>
      <c r="AV95" s="38"/>
      <c r="AW95" s="38"/>
      <c r="AX95" s="38"/>
      <c r="AY95" s="38"/>
      <c r="AZ95" s="38"/>
      <c r="BA95" s="38"/>
      <c r="BB95" s="38"/>
      <c r="BC95" s="38"/>
      <c r="BD95" s="38"/>
      <c r="BE95" s="38"/>
      <c r="BF95" s="38"/>
      <c r="BJ95" s="38"/>
      <c r="BK95" s="38"/>
      <c r="BL95" s="38"/>
      <c r="BM95" s="38"/>
      <c r="BN95" s="38"/>
      <c r="BO95" s="38"/>
      <c r="BP95" s="38"/>
      <c r="BQ95" s="38"/>
      <c r="BR95" s="38"/>
      <c r="BS95" s="38"/>
      <c r="BT95" s="38"/>
      <c r="BU95" s="38"/>
      <c r="BV95" s="38"/>
      <c r="BW95" s="38"/>
      <c r="BX95" s="38"/>
      <c r="BY95" s="38"/>
      <c r="BZ95" s="38"/>
      <c r="CA95" s="38"/>
      <c r="CB95" s="38"/>
    </row>
    <row r="96" spans="1:80" ht="12.95" customHeight="1">
      <c r="A96" s="38"/>
      <c r="B96" s="506"/>
      <c r="C96" s="38"/>
      <c r="D96" s="38"/>
      <c r="E96" s="38"/>
      <c r="F96" s="38"/>
      <c r="G96" s="38"/>
      <c r="H96" s="38"/>
      <c r="I96" s="38"/>
      <c r="J96" s="38"/>
      <c r="K96" s="38"/>
      <c r="L96" s="38"/>
      <c r="M96" s="38"/>
      <c r="N96" s="38"/>
      <c r="O96" s="38"/>
      <c r="P96" s="38"/>
      <c r="Q96" s="38"/>
      <c r="R96" s="38"/>
      <c r="S96" s="38"/>
      <c r="T96" s="38"/>
      <c r="U96" s="38"/>
      <c r="V96" s="38"/>
      <c r="W96" s="38"/>
      <c r="X96" s="38"/>
      <c r="Y96" s="38"/>
      <c r="Z96" s="38"/>
      <c r="AA96" s="38"/>
      <c r="AB96" s="38"/>
      <c r="AC96" s="38"/>
      <c r="AD96" s="38"/>
      <c r="AE96" s="38"/>
      <c r="AF96" s="38"/>
      <c r="AG96" s="38"/>
      <c r="AH96" s="38"/>
      <c r="AI96" s="38"/>
      <c r="AJ96" s="38"/>
      <c r="AK96" s="38"/>
      <c r="AL96" s="38"/>
      <c r="AM96" s="38"/>
      <c r="AN96" s="38"/>
      <c r="AO96" s="38"/>
      <c r="AP96" s="38"/>
      <c r="AQ96" s="38"/>
      <c r="AR96" s="38"/>
      <c r="AS96" s="38"/>
      <c r="AT96" s="38"/>
      <c r="AU96" s="38"/>
      <c r="AV96" s="38"/>
      <c r="AW96" s="38"/>
      <c r="AX96" s="38"/>
      <c r="AY96" s="38"/>
      <c r="AZ96" s="38"/>
      <c r="BA96" s="38"/>
      <c r="BB96" s="38"/>
      <c r="BC96" s="38"/>
      <c r="BD96" s="38"/>
      <c r="BE96" s="38"/>
      <c r="BF96" s="38"/>
      <c r="BJ96" s="38"/>
      <c r="BK96" s="38"/>
      <c r="BL96" s="38"/>
      <c r="BM96" s="38"/>
      <c r="BN96" s="38"/>
      <c r="BO96" s="38"/>
      <c r="BP96" s="38"/>
      <c r="BQ96" s="38"/>
      <c r="BR96" s="38"/>
      <c r="BS96" s="38"/>
      <c r="BT96" s="38"/>
      <c r="BU96" s="38"/>
      <c r="BV96" s="38"/>
      <c r="BW96" s="38"/>
      <c r="BX96" s="38"/>
      <c r="BY96" s="38"/>
      <c r="BZ96" s="38"/>
      <c r="CA96" s="38"/>
      <c r="CB96" s="38"/>
    </row>
    <row r="97" spans="1:80" ht="12.95" customHeight="1">
      <c r="A97" s="38"/>
      <c r="B97" s="518"/>
      <c r="C97" s="248"/>
      <c r="D97" s="248"/>
      <c r="E97" s="38"/>
      <c r="F97" s="38"/>
      <c r="G97" s="38"/>
      <c r="H97" s="38"/>
      <c r="I97" s="38"/>
      <c r="J97" s="38"/>
      <c r="K97" s="38"/>
      <c r="L97" s="38"/>
      <c r="M97" s="38"/>
      <c r="N97" s="38"/>
      <c r="O97" s="38"/>
      <c r="P97" s="38"/>
      <c r="Q97" s="38"/>
      <c r="R97" s="38"/>
      <c r="S97" s="38"/>
      <c r="T97" s="38"/>
      <c r="U97" s="38"/>
      <c r="V97" s="38"/>
      <c r="W97" s="38"/>
      <c r="X97" s="38"/>
      <c r="Y97" s="38"/>
      <c r="Z97" s="38"/>
      <c r="AA97" s="38"/>
      <c r="AB97" s="38"/>
      <c r="AC97" s="38"/>
      <c r="AD97" s="38"/>
      <c r="AE97" s="38"/>
      <c r="AF97" s="38"/>
      <c r="AG97" s="38"/>
      <c r="AH97" s="38"/>
      <c r="AI97" s="38"/>
      <c r="AJ97" s="38"/>
      <c r="AK97" s="38"/>
      <c r="AL97" s="38"/>
      <c r="AM97" s="38"/>
      <c r="AN97" s="38"/>
      <c r="AO97" s="38"/>
      <c r="AP97" s="38"/>
      <c r="AQ97" s="38"/>
      <c r="AR97" s="38"/>
      <c r="AS97" s="38"/>
      <c r="AT97" s="38"/>
      <c r="AU97" s="38"/>
      <c r="AV97" s="38"/>
      <c r="AW97" s="38"/>
      <c r="AX97" s="38"/>
      <c r="AY97" s="38"/>
      <c r="AZ97" s="38"/>
      <c r="BA97" s="38"/>
      <c r="BB97" s="38"/>
      <c r="BC97" s="38"/>
      <c r="BD97" s="38"/>
      <c r="BE97" s="38"/>
      <c r="BF97" s="38"/>
      <c r="BJ97" s="38"/>
      <c r="BK97" s="38"/>
      <c r="BL97" s="38"/>
      <c r="BM97" s="38"/>
      <c r="BN97" s="38"/>
      <c r="BO97" s="38"/>
      <c r="BP97" s="38"/>
      <c r="BQ97" s="38"/>
      <c r="BR97" s="38"/>
      <c r="BS97" s="38"/>
      <c r="BT97" s="38"/>
      <c r="BU97" s="38"/>
      <c r="BV97" s="38"/>
      <c r="BW97" s="38"/>
      <c r="BX97" s="38"/>
      <c r="BY97" s="38"/>
      <c r="BZ97" s="38"/>
      <c r="CA97" s="38"/>
      <c r="CB97" s="38"/>
    </row>
    <row r="98" spans="1:80" ht="12.95" customHeight="1">
      <c r="A98" s="38"/>
      <c r="B98" s="506"/>
      <c r="C98" s="38"/>
      <c r="D98" s="38"/>
      <c r="E98" s="38"/>
      <c r="F98" s="38"/>
      <c r="G98" s="38"/>
      <c r="H98" s="38"/>
      <c r="I98" s="38"/>
      <c r="J98" s="38"/>
      <c r="K98" s="38"/>
      <c r="L98" s="38"/>
      <c r="M98" s="38"/>
      <c r="N98" s="38"/>
      <c r="O98" s="38"/>
      <c r="P98" s="38"/>
      <c r="Q98" s="38"/>
      <c r="R98" s="38"/>
      <c r="S98" s="38"/>
      <c r="T98" s="38"/>
      <c r="U98" s="38"/>
      <c r="V98" s="38"/>
      <c r="W98" s="38"/>
      <c r="X98" s="38"/>
      <c r="Y98" s="38"/>
      <c r="Z98" s="38"/>
      <c r="AA98" s="38"/>
      <c r="AB98" s="38"/>
      <c r="AC98" s="38"/>
      <c r="AD98" s="38"/>
      <c r="AE98" s="38"/>
      <c r="AF98" s="38"/>
      <c r="AG98" s="38"/>
      <c r="AH98" s="38"/>
      <c r="AI98" s="38"/>
      <c r="AJ98" s="38"/>
      <c r="AK98" s="38"/>
      <c r="AL98" s="38"/>
      <c r="AM98" s="38"/>
      <c r="AN98" s="38"/>
      <c r="AO98" s="38"/>
      <c r="AP98" s="38"/>
      <c r="AQ98" s="38"/>
      <c r="AR98" s="38"/>
      <c r="AS98" s="38"/>
      <c r="AT98" s="38"/>
      <c r="AU98" s="38"/>
      <c r="AV98" s="38"/>
      <c r="AW98" s="38"/>
      <c r="AX98" s="38"/>
      <c r="AY98" s="38"/>
      <c r="AZ98" s="38"/>
      <c r="BA98" s="38"/>
      <c r="BB98" s="38"/>
      <c r="BC98" s="38"/>
      <c r="BD98" s="38"/>
      <c r="BE98" s="38"/>
      <c r="BF98" s="38"/>
      <c r="BJ98" s="38"/>
      <c r="BK98" s="38"/>
      <c r="BL98" s="38"/>
      <c r="BM98" s="38"/>
      <c r="BN98" s="38"/>
      <c r="BO98" s="38"/>
      <c r="BP98" s="38"/>
      <c r="BQ98" s="38"/>
      <c r="BR98" s="38"/>
      <c r="BS98" s="38"/>
      <c r="BT98" s="38"/>
      <c r="BU98" s="38"/>
      <c r="BV98" s="38"/>
      <c r="BW98" s="38"/>
      <c r="BX98" s="38"/>
      <c r="BY98" s="38"/>
      <c r="BZ98" s="38"/>
      <c r="CA98" s="38"/>
      <c r="CB98" s="38"/>
    </row>
    <row r="99" spans="1:80" ht="12.95" customHeight="1">
      <c r="A99" s="38"/>
      <c r="B99" s="506"/>
      <c r="C99" s="38"/>
      <c r="D99" s="38"/>
      <c r="E99" s="38"/>
      <c r="F99" s="38"/>
      <c r="G99" s="38"/>
      <c r="H99" s="38"/>
      <c r="I99" s="38"/>
      <c r="J99" s="38"/>
      <c r="K99" s="38"/>
      <c r="L99" s="38"/>
      <c r="M99" s="38"/>
      <c r="N99" s="38"/>
      <c r="O99" s="38"/>
      <c r="P99" s="38"/>
      <c r="Q99" s="38"/>
      <c r="R99" s="38"/>
      <c r="S99" s="38"/>
      <c r="T99" s="38"/>
      <c r="U99" s="38"/>
      <c r="V99" s="38"/>
      <c r="W99" s="38"/>
      <c r="X99" s="38"/>
      <c r="Y99" s="38"/>
      <c r="Z99" s="38"/>
      <c r="AA99" s="38"/>
      <c r="AB99" s="38"/>
      <c r="AC99" s="38"/>
      <c r="AD99" s="38"/>
      <c r="AE99" s="38"/>
      <c r="AF99" s="38"/>
      <c r="AG99" s="38"/>
      <c r="AH99" s="38"/>
      <c r="AI99" s="38"/>
      <c r="AJ99" s="38"/>
      <c r="AK99" s="38"/>
      <c r="AL99" s="38"/>
      <c r="AM99" s="38"/>
      <c r="AN99" s="38"/>
      <c r="AO99" s="38"/>
      <c r="AP99" s="38"/>
      <c r="AQ99" s="38"/>
      <c r="AR99" s="38"/>
      <c r="AS99" s="38"/>
      <c r="AT99" s="38"/>
      <c r="AU99" s="38"/>
      <c r="AV99" s="38"/>
      <c r="AW99" s="38"/>
      <c r="AX99" s="38"/>
      <c r="AY99" s="38"/>
      <c r="AZ99" s="38"/>
      <c r="BA99" s="38"/>
      <c r="BB99" s="38"/>
      <c r="BC99" s="38"/>
      <c r="BD99" s="38"/>
      <c r="BE99" s="38"/>
      <c r="BF99" s="38"/>
      <c r="BJ99" s="38"/>
      <c r="BK99" s="38"/>
      <c r="BL99" s="38"/>
      <c r="BM99" s="38"/>
      <c r="BN99" s="38"/>
      <c r="BO99" s="38"/>
      <c r="BP99" s="38"/>
      <c r="BQ99" s="38"/>
      <c r="BR99" s="38"/>
      <c r="BS99" s="38"/>
      <c r="BT99" s="38"/>
      <c r="BU99" s="38"/>
      <c r="BV99" s="38"/>
      <c r="BW99" s="38"/>
      <c r="BX99" s="38"/>
      <c r="BY99" s="38"/>
      <c r="BZ99" s="38"/>
      <c r="CA99" s="38"/>
      <c r="CB99" s="38"/>
    </row>
    <row r="100" spans="1:80" ht="12.95" customHeight="1">
      <c r="A100" s="38"/>
      <c r="B100" s="506"/>
      <c r="C100" s="38"/>
      <c r="D100" s="38"/>
      <c r="E100" s="38"/>
      <c r="F100" s="38"/>
      <c r="G100" s="38"/>
      <c r="H100" s="38"/>
      <c r="I100" s="38"/>
      <c r="J100" s="38"/>
      <c r="K100" s="38"/>
      <c r="L100" s="38"/>
      <c r="M100" s="38"/>
      <c r="N100" s="38"/>
      <c r="O100" s="38"/>
      <c r="P100" s="38"/>
      <c r="Q100" s="38"/>
      <c r="R100" s="38"/>
      <c r="S100" s="38"/>
      <c r="T100" s="38"/>
      <c r="U100" s="38"/>
      <c r="V100" s="38"/>
      <c r="W100" s="38"/>
      <c r="X100" s="38"/>
      <c r="Y100" s="38"/>
      <c r="Z100" s="38"/>
      <c r="AA100" s="38"/>
      <c r="AB100" s="38"/>
      <c r="AC100" s="38"/>
      <c r="AD100" s="38"/>
      <c r="AE100" s="38"/>
      <c r="AF100" s="38"/>
      <c r="AG100" s="38"/>
      <c r="AH100" s="38"/>
      <c r="AI100" s="38"/>
      <c r="AJ100" s="38"/>
      <c r="AK100" s="38"/>
      <c r="AL100" s="38"/>
      <c r="AM100" s="38"/>
      <c r="AN100" s="38"/>
      <c r="AO100" s="38"/>
      <c r="AP100" s="38"/>
      <c r="AQ100" s="38"/>
      <c r="AR100" s="38"/>
      <c r="AS100" s="38"/>
      <c r="AT100" s="38"/>
      <c r="AU100" s="38"/>
      <c r="AV100" s="38"/>
      <c r="AW100" s="38"/>
      <c r="AX100" s="38"/>
      <c r="AY100" s="38"/>
      <c r="AZ100" s="38"/>
      <c r="BA100" s="38"/>
      <c r="BB100" s="38"/>
      <c r="BC100" s="38"/>
      <c r="BD100" s="38"/>
      <c r="BE100" s="38"/>
      <c r="BF100" s="38"/>
      <c r="BJ100" s="38"/>
      <c r="BK100" s="38"/>
      <c r="BL100" s="38"/>
      <c r="BM100" s="38"/>
      <c r="BN100" s="38"/>
      <c r="BO100" s="38"/>
      <c r="BP100" s="38"/>
      <c r="BQ100" s="38"/>
      <c r="BR100" s="38"/>
      <c r="BS100" s="38"/>
      <c r="BT100" s="38"/>
      <c r="BU100" s="38"/>
      <c r="BV100" s="38"/>
      <c r="BW100" s="38"/>
      <c r="BX100" s="38"/>
      <c r="BY100" s="38"/>
      <c r="BZ100" s="38"/>
      <c r="CA100" s="38"/>
      <c r="CB100" s="38"/>
    </row>
    <row r="101" spans="1:80" ht="12.95" customHeight="1">
      <c r="A101" s="38"/>
      <c r="B101" s="506"/>
      <c r="C101" s="38"/>
      <c r="D101" s="38"/>
      <c r="E101" s="38"/>
      <c r="F101" s="38"/>
      <c r="G101" s="38"/>
      <c r="H101" s="38"/>
      <c r="I101" s="38"/>
      <c r="J101" s="38"/>
      <c r="K101" s="38"/>
      <c r="L101" s="38"/>
      <c r="M101" s="38"/>
      <c r="N101" s="38"/>
      <c r="O101" s="38"/>
      <c r="P101" s="38"/>
      <c r="Q101" s="38"/>
      <c r="R101" s="38"/>
      <c r="S101" s="38"/>
      <c r="T101" s="38"/>
      <c r="U101" s="38"/>
      <c r="V101" s="38"/>
      <c r="W101" s="38"/>
      <c r="X101" s="38"/>
      <c r="Y101" s="38"/>
      <c r="Z101" s="38"/>
      <c r="AA101" s="38"/>
      <c r="AB101" s="38"/>
      <c r="AC101" s="38"/>
      <c r="AD101" s="38"/>
      <c r="AE101" s="38"/>
      <c r="AF101" s="38"/>
      <c r="AG101" s="38"/>
      <c r="AH101" s="38"/>
      <c r="AI101" s="38"/>
      <c r="AJ101" s="38"/>
      <c r="AK101" s="38"/>
      <c r="AL101" s="38"/>
      <c r="AM101" s="38"/>
      <c r="AN101" s="38"/>
      <c r="AO101" s="38"/>
      <c r="AP101" s="38"/>
      <c r="AQ101" s="38"/>
      <c r="AR101" s="38"/>
      <c r="AS101" s="38"/>
      <c r="AT101" s="38"/>
      <c r="AU101" s="38"/>
      <c r="AV101" s="38"/>
      <c r="AW101" s="38"/>
      <c r="AX101" s="38"/>
      <c r="AY101" s="38"/>
      <c r="AZ101" s="38"/>
      <c r="BA101" s="38"/>
      <c r="BB101" s="38"/>
      <c r="BC101" s="38"/>
      <c r="BD101" s="38"/>
      <c r="BE101" s="38"/>
      <c r="BF101" s="38"/>
      <c r="BJ101" s="38"/>
      <c r="BK101" s="38"/>
      <c r="BL101" s="38"/>
      <c r="BM101" s="38"/>
      <c r="BN101" s="38"/>
      <c r="BO101" s="38"/>
      <c r="BP101" s="38"/>
      <c r="BQ101" s="38"/>
      <c r="BR101" s="38"/>
      <c r="BS101" s="38"/>
      <c r="BT101" s="38"/>
      <c r="BU101" s="38"/>
      <c r="BV101" s="38"/>
      <c r="BW101" s="38"/>
      <c r="BX101" s="38"/>
      <c r="BY101" s="38"/>
      <c r="BZ101" s="38"/>
      <c r="CA101" s="38"/>
      <c r="CB101" s="38"/>
    </row>
    <row r="102" spans="1:80" ht="12.95" customHeight="1">
      <c r="A102" s="38"/>
      <c r="B102" s="506"/>
      <c r="C102" s="38"/>
      <c r="D102" s="38"/>
      <c r="E102" s="38"/>
      <c r="F102" s="38"/>
      <c r="G102" s="38"/>
      <c r="H102" s="38"/>
      <c r="I102" s="38"/>
      <c r="J102" s="38"/>
      <c r="K102" s="38"/>
      <c r="L102" s="38"/>
      <c r="M102" s="38"/>
      <c r="N102" s="38"/>
      <c r="O102" s="38"/>
      <c r="P102" s="38"/>
      <c r="Q102" s="38"/>
      <c r="R102" s="38"/>
      <c r="S102" s="38"/>
      <c r="T102" s="38"/>
      <c r="U102" s="38"/>
      <c r="V102" s="38"/>
      <c r="W102" s="38"/>
      <c r="X102" s="38"/>
      <c r="Y102" s="38"/>
      <c r="Z102" s="38"/>
      <c r="AA102" s="38"/>
      <c r="AB102" s="38"/>
      <c r="AC102" s="38"/>
      <c r="AD102" s="38"/>
      <c r="AE102" s="38"/>
      <c r="AF102" s="38"/>
      <c r="AG102" s="38"/>
      <c r="AH102" s="38"/>
      <c r="AI102" s="38"/>
      <c r="AJ102" s="38"/>
      <c r="AK102" s="38"/>
      <c r="AL102" s="38"/>
      <c r="AM102" s="38"/>
      <c r="AN102" s="38"/>
      <c r="AO102" s="38"/>
      <c r="AP102" s="38"/>
      <c r="AQ102" s="38"/>
      <c r="AR102" s="38"/>
      <c r="AS102" s="38"/>
      <c r="AT102" s="38"/>
      <c r="AU102" s="38"/>
      <c r="AV102" s="38"/>
      <c r="AW102" s="38"/>
      <c r="AX102" s="38"/>
      <c r="AY102" s="38"/>
      <c r="AZ102" s="38"/>
      <c r="BA102" s="38"/>
      <c r="BB102" s="38"/>
      <c r="BC102" s="38"/>
      <c r="BD102" s="38"/>
      <c r="BE102" s="38"/>
      <c r="BF102" s="38"/>
      <c r="BJ102" s="38"/>
      <c r="BK102" s="38"/>
      <c r="BL102" s="38"/>
      <c r="BM102" s="38"/>
      <c r="BN102" s="38"/>
      <c r="BO102" s="38"/>
      <c r="BP102" s="38"/>
      <c r="BQ102" s="38"/>
      <c r="BR102" s="38"/>
      <c r="BS102" s="38"/>
      <c r="BT102" s="38"/>
      <c r="BU102" s="38"/>
      <c r="BV102" s="38"/>
      <c r="BW102" s="38"/>
      <c r="BX102" s="38"/>
      <c r="BY102" s="38"/>
      <c r="BZ102" s="38"/>
      <c r="CA102" s="38"/>
      <c r="CB102" s="38"/>
    </row>
    <row r="103" spans="1:80" ht="12.95" customHeight="1">
      <c r="A103" s="38"/>
      <c r="B103" s="506"/>
      <c r="C103" s="38"/>
      <c r="D103" s="38"/>
      <c r="E103" s="38"/>
      <c r="F103" s="38"/>
      <c r="G103" s="38"/>
      <c r="H103" s="38"/>
      <c r="I103" s="38"/>
      <c r="J103" s="38"/>
      <c r="K103" s="38"/>
      <c r="L103" s="38"/>
      <c r="M103" s="38"/>
      <c r="N103" s="38"/>
      <c r="O103" s="38"/>
      <c r="P103" s="38"/>
      <c r="Q103" s="38"/>
      <c r="R103" s="38"/>
      <c r="S103" s="38"/>
      <c r="T103" s="38"/>
      <c r="U103" s="38"/>
      <c r="V103" s="38"/>
      <c r="W103" s="38"/>
      <c r="X103" s="38"/>
      <c r="Y103" s="38"/>
      <c r="Z103" s="38"/>
      <c r="AA103" s="38"/>
      <c r="AB103" s="38"/>
      <c r="AC103" s="38"/>
      <c r="AD103" s="38"/>
      <c r="AE103" s="38"/>
      <c r="AF103" s="38"/>
      <c r="AG103" s="38"/>
      <c r="AH103" s="38"/>
      <c r="AI103" s="38"/>
      <c r="AJ103" s="38"/>
      <c r="AK103" s="38"/>
      <c r="AL103" s="38"/>
      <c r="AM103" s="38"/>
      <c r="AN103" s="38"/>
      <c r="AO103" s="38"/>
      <c r="AP103" s="38"/>
      <c r="AQ103" s="38"/>
      <c r="AR103" s="38"/>
      <c r="AS103" s="38"/>
      <c r="AT103" s="38"/>
      <c r="AU103" s="38"/>
      <c r="AV103" s="38"/>
      <c r="AW103" s="38"/>
      <c r="AX103" s="38"/>
      <c r="AY103" s="38"/>
      <c r="AZ103" s="38"/>
      <c r="BA103" s="38"/>
      <c r="BB103" s="38"/>
      <c r="BC103" s="38"/>
      <c r="BD103" s="38"/>
      <c r="BE103" s="38"/>
      <c r="BF103" s="38"/>
      <c r="BJ103" s="38"/>
      <c r="BK103" s="38"/>
      <c r="BL103" s="38"/>
      <c r="BM103" s="38"/>
      <c r="BN103" s="38"/>
      <c r="BO103" s="38"/>
      <c r="BP103" s="38"/>
      <c r="BQ103" s="38"/>
      <c r="BR103" s="38"/>
      <c r="BS103" s="38"/>
      <c r="BT103" s="38"/>
      <c r="BU103" s="38"/>
      <c r="BV103" s="38"/>
      <c r="BW103" s="38"/>
      <c r="BX103" s="38"/>
      <c r="BY103" s="38"/>
      <c r="BZ103" s="38"/>
      <c r="CA103" s="38"/>
      <c r="CB103" s="38"/>
    </row>
    <row r="104" spans="1:80" ht="12.95" customHeight="1">
      <c r="A104" s="38"/>
      <c r="B104" s="506"/>
      <c r="C104" s="38"/>
      <c r="D104" s="38"/>
      <c r="E104" s="38"/>
      <c r="F104" s="38"/>
      <c r="G104" s="38"/>
      <c r="H104" s="38"/>
      <c r="I104" s="38"/>
      <c r="J104" s="38"/>
      <c r="K104" s="38"/>
      <c r="L104" s="38"/>
      <c r="M104" s="38"/>
      <c r="N104" s="38"/>
      <c r="O104" s="38"/>
      <c r="P104" s="38"/>
      <c r="Q104" s="38"/>
      <c r="R104" s="38"/>
      <c r="S104" s="38"/>
      <c r="T104" s="38"/>
      <c r="U104" s="38"/>
      <c r="V104" s="38"/>
      <c r="W104" s="38"/>
      <c r="X104" s="38"/>
      <c r="Y104" s="38"/>
      <c r="Z104" s="38"/>
      <c r="AA104" s="38"/>
      <c r="AB104" s="38"/>
      <c r="AC104" s="38"/>
      <c r="AD104" s="38"/>
      <c r="AE104" s="38"/>
      <c r="AF104" s="38"/>
      <c r="AG104" s="38"/>
      <c r="AH104" s="38"/>
      <c r="AI104" s="38"/>
      <c r="AJ104" s="38"/>
      <c r="AK104" s="38"/>
      <c r="AL104" s="38"/>
      <c r="AM104" s="38"/>
      <c r="AN104" s="38"/>
      <c r="AO104" s="38"/>
      <c r="AP104" s="38"/>
      <c r="AQ104" s="38"/>
      <c r="AR104" s="38"/>
      <c r="AS104" s="38"/>
      <c r="AT104" s="38"/>
      <c r="AU104" s="38"/>
      <c r="AV104" s="38"/>
      <c r="AW104" s="38"/>
      <c r="AX104" s="38"/>
      <c r="AY104" s="38"/>
      <c r="AZ104" s="38"/>
      <c r="BA104" s="38"/>
      <c r="BB104" s="38"/>
      <c r="BC104" s="38"/>
      <c r="BD104" s="38"/>
      <c r="BE104" s="38"/>
      <c r="BF104" s="38"/>
      <c r="BJ104" s="38"/>
      <c r="BK104" s="38"/>
      <c r="BL104" s="38"/>
      <c r="BM104" s="38"/>
      <c r="BN104" s="38"/>
      <c r="BO104" s="38"/>
      <c r="BP104" s="38"/>
      <c r="BQ104" s="38"/>
      <c r="BR104" s="38"/>
      <c r="BS104" s="38"/>
      <c r="BT104" s="38"/>
      <c r="BU104" s="38"/>
      <c r="BV104" s="38"/>
      <c r="BW104" s="38"/>
      <c r="BX104" s="38"/>
      <c r="BY104" s="38"/>
      <c r="BZ104" s="38"/>
      <c r="CA104" s="38"/>
      <c r="CB104" s="38"/>
    </row>
    <row r="105" spans="1:80" ht="12.95" customHeight="1">
      <c r="A105" s="38"/>
      <c r="B105" s="506"/>
      <c r="C105" s="38"/>
      <c r="D105" s="38"/>
      <c r="E105" s="38"/>
      <c r="F105" s="38"/>
      <c r="G105" s="38"/>
      <c r="H105" s="38"/>
      <c r="I105" s="38"/>
      <c r="J105" s="38"/>
      <c r="K105" s="38"/>
      <c r="L105" s="38"/>
      <c r="M105" s="38"/>
      <c r="N105" s="38"/>
      <c r="O105" s="38"/>
      <c r="P105" s="38"/>
      <c r="Q105" s="38"/>
      <c r="R105" s="38"/>
      <c r="S105" s="38"/>
      <c r="T105" s="38"/>
      <c r="U105" s="38"/>
      <c r="V105" s="38"/>
      <c r="W105" s="38"/>
      <c r="X105" s="38"/>
      <c r="Y105" s="38"/>
      <c r="Z105" s="38"/>
      <c r="AA105" s="38"/>
      <c r="AB105" s="38"/>
      <c r="AC105" s="38"/>
      <c r="AD105" s="38"/>
      <c r="AE105" s="38"/>
      <c r="AF105" s="38"/>
      <c r="AG105" s="38"/>
      <c r="AH105" s="38"/>
      <c r="AI105" s="38"/>
      <c r="AJ105" s="38"/>
      <c r="AK105" s="38"/>
      <c r="AL105" s="38"/>
      <c r="AM105" s="38"/>
      <c r="AN105" s="38"/>
      <c r="AO105" s="38"/>
      <c r="AP105" s="38"/>
      <c r="AQ105" s="38"/>
      <c r="AR105" s="38"/>
      <c r="AS105" s="38"/>
      <c r="AT105" s="38"/>
      <c r="AU105" s="38"/>
      <c r="AV105" s="38"/>
      <c r="AW105" s="38"/>
      <c r="AX105" s="38"/>
      <c r="AY105" s="38"/>
      <c r="AZ105" s="38"/>
      <c r="BA105" s="38"/>
      <c r="BB105" s="38"/>
      <c r="BC105" s="38"/>
      <c r="BD105" s="38"/>
      <c r="BE105" s="38"/>
      <c r="BF105" s="38"/>
      <c r="BJ105" s="38"/>
      <c r="BK105" s="38"/>
      <c r="BL105" s="38"/>
      <c r="BM105" s="38"/>
      <c r="BN105" s="38"/>
      <c r="BO105" s="38"/>
      <c r="BP105" s="38"/>
      <c r="BQ105" s="38"/>
      <c r="BR105" s="38"/>
      <c r="BS105" s="38"/>
      <c r="BT105" s="38"/>
      <c r="BU105" s="38"/>
      <c r="BV105" s="38"/>
      <c r="BW105" s="38"/>
      <c r="BX105" s="38"/>
      <c r="BY105" s="38"/>
      <c r="BZ105" s="38"/>
      <c r="CA105" s="38"/>
      <c r="CB105" s="38"/>
    </row>
    <row r="106" spans="1:80" ht="12.95" customHeight="1">
      <c r="A106" s="38"/>
      <c r="B106" s="506"/>
      <c r="C106" s="38"/>
      <c r="D106" s="38"/>
      <c r="E106" s="38"/>
      <c r="F106" s="38"/>
      <c r="G106" s="38"/>
      <c r="H106" s="38"/>
      <c r="I106" s="38"/>
      <c r="J106" s="38"/>
      <c r="K106" s="38"/>
      <c r="L106" s="38"/>
      <c r="M106" s="38"/>
      <c r="N106" s="38"/>
      <c r="O106" s="38"/>
      <c r="P106" s="38"/>
      <c r="Q106" s="38"/>
      <c r="R106" s="38"/>
      <c r="S106" s="38"/>
      <c r="T106" s="38"/>
      <c r="U106" s="38"/>
      <c r="V106" s="38"/>
      <c r="W106" s="38"/>
      <c r="X106" s="38"/>
      <c r="Y106" s="38"/>
      <c r="Z106" s="38"/>
      <c r="AA106" s="38"/>
      <c r="AB106" s="38"/>
      <c r="AC106" s="38"/>
      <c r="AD106" s="38"/>
      <c r="AE106" s="38"/>
      <c r="AF106" s="38"/>
      <c r="AG106" s="38"/>
      <c r="AH106" s="38"/>
      <c r="AI106" s="38"/>
      <c r="AJ106" s="38"/>
      <c r="AK106" s="38"/>
      <c r="AL106" s="38"/>
      <c r="AM106" s="38"/>
      <c r="AN106" s="38"/>
      <c r="AO106" s="38"/>
      <c r="AP106" s="38"/>
      <c r="AQ106" s="38"/>
      <c r="AR106" s="38"/>
      <c r="AS106" s="38"/>
      <c r="AT106" s="38"/>
      <c r="AU106" s="38"/>
      <c r="AV106" s="38"/>
      <c r="AW106" s="38"/>
      <c r="AX106" s="38"/>
      <c r="AY106" s="38"/>
      <c r="AZ106" s="38"/>
      <c r="BA106" s="38"/>
      <c r="BB106" s="38"/>
      <c r="BC106" s="38"/>
      <c r="BD106" s="38"/>
      <c r="BE106" s="38"/>
      <c r="BF106" s="38"/>
      <c r="BJ106" s="38"/>
      <c r="BK106" s="38"/>
      <c r="BL106" s="38"/>
      <c r="BM106" s="38"/>
      <c r="BN106" s="38"/>
      <c r="BO106" s="38"/>
      <c r="BP106" s="38"/>
      <c r="BQ106" s="38"/>
      <c r="BR106" s="38"/>
      <c r="BS106" s="38"/>
      <c r="BT106" s="38"/>
      <c r="BU106" s="38"/>
      <c r="BV106" s="38"/>
      <c r="BW106" s="38"/>
      <c r="BX106" s="38"/>
      <c r="BY106" s="38"/>
      <c r="BZ106" s="38"/>
      <c r="CA106" s="38"/>
      <c r="CB106" s="38"/>
    </row>
    <row r="107" spans="1:80" ht="12.95" customHeight="1">
      <c r="A107" s="38"/>
      <c r="B107" s="506"/>
      <c r="C107" s="38"/>
      <c r="D107" s="38"/>
      <c r="E107" s="38"/>
      <c r="F107" s="38"/>
      <c r="G107" s="38"/>
      <c r="H107" s="38"/>
      <c r="I107" s="38"/>
      <c r="J107" s="38"/>
      <c r="K107" s="38"/>
      <c r="L107" s="38"/>
      <c r="M107" s="38"/>
      <c r="N107" s="38"/>
      <c r="O107" s="38"/>
      <c r="P107" s="38"/>
      <c r="Q107" s="38"/>
      <c r="R107" s="38"/>
      <c r="S107" s="38"/>
      <c r="T107" s="38"/>
      <c r="U107" s="38"/>
      <c r="V107" s="38"/>
      <c r="W107" s="38"/>
      <c r="X107" s="38"/>
      <c r="Y107" s="38"/>
      <c r="Z107" s="38"/>
      <c r="AA107" s="38"/>
      <c r="AB107" s="38"/>
      <c r="AC107" s="38"/>
      <c r="AD107" s="38"/>
      <c r="AE107" s="38"/>
      <c r="AF107" s="38"/>
      <c r="AG107" s="38"/>
      <c r="AH107" s="38"/>
      <c r="AI107" s="38"/>
      <c r="AJ107" s="38"/>
      <c r="AK107" s="38"/>
      <c r="AL107" s="38"/>
      <c r="AM107" s="38"/>
      <c r="AN107" s="38"/>
      <c r="AO107" s="38"/>
      <c r="AP107" s="38"/>
      <c r="AQ107" s="38"/>
      <c r="AR107" s="38"/>
      <c r="AS107" s="38"/>
      <c r="AT107" s="38"/>
      <c r="AU107" s="38"/>
      <c r="AV107" s="38"/>
      <c r="AW107" s="38"/>
      <c r="AX107" s="38"/>
      <c r="AY107" s="38"/>
      <c r="AZ107" s="38"/>
      <c r="BA107" s="38"/>
      <c r="BB107" s="38"/>
      <c r="BC107" s="38"/>
      <c r="BD107" s="38"/>
      <c r="BE107" s="38"/>
      <c r="BF107" s="38"/>
      <c r="BJ107" s="38"/>
      <c r="BK107" s="38"/>
      <c r="BL107" s="38"/>
      <c r="BM107" s="38"/>
      <c r="BN107" s="38"/>
      <c r="BO107" s="38"/>
      <c r="BP107" s="38"/>
      <c r="BQ107" s="38"/>
      <c r="BR107" s="38"/>
      <c r="BS107" s="38"/>
      <c r="BT107" s="38"/>
      <c r="BU107" s="38"/>
      <c r="BV107" s="38"/>
      <c r="BW107" s="38"/>
      <c r="BX107" s="38"/>
      <c r="BY107" s="38"/>
      <c r="BZ107" s="38"/>
      <c r="CA107" s="38"/>
      <c r="CB107" s="38"/>
    </row>
    <row r="108" spans="1:80" ht="12.95" customHeight="1">
      <c r="A108" s="38"/>
      <c r="B108" s="506"/>
      <c r="C108" s="38"/>
      <c r="D108" s="38"/>
      <c r="E108" s="38"/>
      <c r="F108" s="38"/>
      <c r="G108" s="38"/>
      <c r="H108" s="38"/>
      <c r="I108" s="38"/>
      <c r="J108" s="38"/>
      <c r="K108" s="38"/>
      <c r="L108" s="38"/>
      <c r="M108" s="38"/>
      <c r="N108" s="38"/>
      <c r="O108" s="38"/>
      <c r="P108" s="38"/>
      <c r="Q108" s="38"/>
      <c r="R108" s="38"/>
      <c r="S108" s="38"/>
      <c r="T108" s="38"/>
      <c r="U108" s="38"/>
      <c r="V108" s="38"/>
      <c r="W108" s="38"/>
      <c r="X108" s="38"/>
      <c r="Y108" s="38"/>
      <c r="Z108" s="38"/>
      <c r="AA108" s="38"/>
      <c r="AB108" s="38"/>
      <c r="AC108" s="38"/>
      <c r="AD108" s="38"/>
      <c r="AE108" s="38"/>
      <c r="AF108" s="38"/>
      <c r="AG108" s="38"/>
      <c r="AH108" s="38"/>
      <c r="AI108" s="38"/>
      <c r="AJ108" s="38"/>
      <c r="AK108" s="38"/>
      <c r="AL108" s="38"/>
      <c r="AM108" s="38"/>
      <c r="AN108" s="38"/>
      <c r="AO108" s="38"/>
      <c r="AP108" s="38"/>
      <c r="AQ108" s="38"/>
      <c r="AR108" s="38"/>
      <c r="AS108" s="38"/>
      <c r="AT108" s="38"/>
      <c r="AU108" s="38"/>
      <c r="AV108" s="38"/>
      <c r="AW108" s="38"/>
      <c r="AX108" s="38"/>
      <c r="AY108" s="38"/>
      <c r="AZ108" s="38"/>
      <c r="BA108" s="38"/>
      <c r="BB108" s="38"/>
      <c r="BC108" s="38"/>
      <c r="BD108" s="38"/>
      <c r="BE108" s="38"/>
      <c r="BF108" s="38"/>
      <c r="BJ108" s="38"/>
      <c r="BK108" s="38"/>
      <c r="BL108" s="38"/>
      <c r="BM108" s="38"/>
      <c r="BN108" s="38"/>
      <c r="BO108" s="38"/>
      <c r="BP108" s="38"/>
      <c r="BQ108" s="38"/>
      <c r="BR108" s="38"/>
      <c r="BS108" s="38"/>
      <c r="BT108" s="38"/>
      <c r="BU108" s="38"/>
      <c r="BV108" s="38"/>
      <c r="BW108" s="38"/>
      <c r="BX108" s="38"/>
      <c r="BY108" s="38"/>
      <c r="BZ108" s="38"/>
      <c r="CA108" s="38"/>
      <c r="CB108" s="38"/>
    </row>
    <row r="109" spans="1:80" ht="12.95" customHeight="1">
      <c r="A109" s="38"/>
      <c r="B109" s="506"/>
      <c r="C109" s="38"/>
      <c r="D109" s="38"/>
      <c r="E109" s="38"/>
      <c r="F109" s="38"/>
      <c r="G109" s="38"/>
      <c r="H109" s="38"/>
      <c r="I109" s="38"/>
      <c r="J109" s="38"/>
      <c r="K109" s="38"/>
      <c r="L109" s="38"/>
      <c r="M109" s="38"/>
      <c r="N109" s="38"/>
      <c r="O109" s="38"/>
      <c r="P109" s="38"/>
      <c r="Q109" s="38"/>
      <c r="R109" s="38"/>
      <c r="S109" s="38"/>
      <c r="T109" s="38"/>
      <c r="U109" s="38"/>
      <c r="V109" s="38"/>
      <c r="W109" s="38"/>
      <c r="X109" s="38"/>
      <c r="Y109" s="38"/>
      <c r="Z109" s="38"/>
      <c r="AA109" s="38"/>
      <c r="AB109" s="38"/>
      <c r="AC109" s="38"/>
      <c r="AD109" s="38"/>
      <c r="AE109" s="38"/>
      <c r="AF109" s="38"/>
      <c r="AG109" s="38"/>
      <c r="AH109" s="38"/>
      <c r="AI109" s="38"/>
      <c r="AJ109" s="38"/>
      <c r="AK109" s="38"/>
      <c r="AL109" s="38"/>
      <c r="AM109" s="38"/>
      <c r="AN109" s="38"/>
      <c r="AO109" s="38"/>
      <c r="AP109" s="38"/>
      <c r="AQ109" s="38"/>
      <c r="AR109" s="38"/>
      <c r="AS109" s="38"/>
      <c r="AT109" s="38"/>
      <c r="AU109" s="38"/>
      <c r="AV109" s="38"/>
      <c r="AW109" s="38"/>
      <c r="AX109" s="38"/>
      <c r="AY109" s="38"/>
      <c r="AZ109" s="38"/>
      <c r="BA109" s="38"/>
      <c r="BB109" s="38"/>
      <c r="BC109" s="38"/>
      <c r="BD109" s="38"/>
      <c r="BE109" s="38"/>
      <c r="BF109" s="38"/>
      <c r="BJ109" s="38"/>
      <c r="BK109" s="38"/>
      <c r="BL109" s="38"/>
      <c r="BM109" s="38"/>
      <c r="BN109" s="38"/>
      <c r="BO109" s="38"/>
      <c r="BP109" s="38"/>
      <c r="BQ109" s="38"/>
      <c r="BR109" s="38"/>
      <c r="BS109" s="38"/>
      <c r="BT109" s="38"/>
      <c r="BU109" s="38"/>
      <c r="BV109" s="38"/>
      <c r="BW109" s="38"/>
      <c r="BX109" s="38"/>
      <c r="BY109" s="38"/>
      <c r="BZ109" s="38"/>
      <c r="CA109" s="38"/>
      <c r="CB109" s="38"/>
    </row>
    <row r="110" spans="1:80" ht="12.95" customHeight="1">
      <c r="A110" s="38"/>
      <c r="B110" s="506"/>
      <c r="C110" s="38"/>
      <c r="D110" s="38"/>
      <c r="E110" s="38"/>
      <c r="F110" s="38"/>
      <c r="G110" s="38"/>
      <c r="H110" s="38"/>
      <c r="I110" s="38"/>
      <c r="J110" s="38"/>
      <c r="K110" s="38"/>
      <c r="L110" s="38"/>
      <c r="M110" s="38"/>
      <c r="N110" s="38"/>
      <c r="O110" s="38"/>
      <c r="P110" s="38"/>
      <c r="Q110" s="38"/>
      <c r="R110" s="38"/>
      <c r="S110" s="38"/>
      <c r="T110" s="38"/>
      <c r="U110" s="38"/>
      <c r="V110" s="38"/>
      <c r="W110" s="38"/>
      <c r="X110" s="38"/>
      <c r="Y110" s="38"/>
      <c r="Z110" s="38"/>
      <c r="AA110" s="38"/>
      <c r="AB110" s="38"/>
      <c r="AC110" s="38"/>
      <c r="AD110" s="38"/>
      <c r="AE110" s="38"/>
      <c r="AF110" s="38"/>
      <c r="AG110" s="38"/>
      <c r="AH110" s="38"/>
      <c r="AI110" s="38"/>
      <c r="AJ110" s="38"/>
      <c r="AK110" s="38"/>
      <c r="AL110" s="38"/>
      <c r="AM110" s="38"/>
      <c r="AN110" s="38"/>
      <c r="AO110" s="38"/>
      <c r="AP110" s="38"/>
      <c r="AQ110" s="38"/>
      <c r="AR110" s="38"/>
      <c r="AS110" s="38"/>
      <c r="AT110" s="38"/>
      <c r="AU110" s="38"/>
      <c r="AV110" s="38"/>
      <c r="AW110" s="38"/>
      <c r="AX110" s="38"/>
      <c r="AY110" s="38"/>
      <c r="AZ110" s="38"/>
      <c r="BA110" s="38"/>
      <c r="BB110" s="38"/>
      <c r="BC110" s="38"/>
      <c r="BD110" s="38"/>
      <c r="BE110" s="38"/>
      <c r="BF110" s="38"/>
      <c r="BJ110" s="38"/>
      <c r="BK110" s="38"/>
      <c r="BL110" s="38"/>
      <c r="BM110" s="38"/>
      <c r="BN110" s="38"/>
      <c r="BO110" s="38"/>
      <c r="BP110" s="38"/>
      <c r="BQ110" s="38"/>
      <c r="BR110" s="38"/>
      <c r="BS110" s="38"/>
      <c r="BT110" s="38"/>
      <c r="BU110" s="38"/>
      <c r="BV110" s="38"/>
      <c r="BW110" s="38"/>
      <c r="BX110" s="38"/>
      <c r="BY110" s="38"/>
      <c r="BZ110" s="38"/>
      <c r="CA110" s="38"/>
      <c r="CB110" s="38"/>
    </row>
    <row r="111" spans="1:80" ht="12.95" customHeight="1">
      <c r="A111" s="38"/>
      <c r="B111" s="506"/>
      <c r="C111" s="38"/>
      <c r="D111" s="38"/>
      <c r="E111" s="38"/>
      <c r="F111" s="38"/>
      <c r="G111" s="38"/>
      <c r="H111" s="38"/>
      <c r="I111" s="38"/>
      <c r="J111" s="38"/>
      <c r="K111" s="38"/>
      <c r="L111" s="38"/>
      <c r="M111" s="38"/>
      <c r="N111" s="38"/>
      <c r="O111" s="38"/>
      <c r="P111" s="38"/>
      <c r="Q111" s="38"/>
      <c r="R111" s="38"/>
      <c r="S111" s="38"/>
      <c r="T111" s="38"/>
      <c r="U111" s="38"/>
      <c r="V111" s="38"/>
      <c r="W111" s="38"/>
      <c r="X111" s="38"/>
      <c r="Y111" s="38"/>
      <c r="Z111" s="38"/>
      <c r="AA111" s="38"/>
      <c r="AB111" s="38"/>
      <c r="AC111" s="38"/>
      <c r="AD111" s="38"/>
      <c r="AE111" s="38"/>
      <c r="AF111" s="38"/>
      <c r="AG111" s="38"/>
      <c r="AH111" s="38"/>
      <c r="AI111" s="38"/>
      <c r="AJ111" s="38"/>
      <c r="AK111" s="38"/>
      <c r="AL111" s="38"/>
      <c r="AM111" s="38"/>
      <c r="AN111" s="38"/>
      <c r="AO111" s="38"/>
      <c r="AP111" s="38"/>
      <c r="AQ111" s="38"/>
      <c r="AR111" s="38"/>
      <c r="AS111" s="38"/>
      <c r="AT111" s="38"/>
      <c r="AU111" s="38"/>
      <c r="AV111" s="38"/>
      <c r="AW111" s="38"/>
      <c r="AX111" s="38"/>
      <c r="AY111" s="38"/>
      <c r="AZ111" s="38"/>
      <c r="BA111" s="38"/>
      <c r="BB111" s="38"/>
      <c r="BC111" s="38"/>
      <c r="BD111" s="38"/>
      <c r="BE111" s="38"/>
      <c r="BF111" s="38"/>
      <c r="BJ111" s="38"/>
      <c r="BK111" s="38"/>
      <c r="BL111" s="38"/>
      <c r="BM111" s="38"/>
      <c r="BN111" s="38"/>
      <c r="BO111" s="38"/>
      <c r="BP111" s="38"/>
      <c r="BQ111" s="38"/>
      <c r="BR111" s="38"/>
      <c r="BS111" s="38"/>
      <c r="BT111" s="38"/>
      <c r="BU111" s="38"/>
      <c r="BV111" s="38"/>
      <c r="BW111" s="38"/>
      <c r="BX111" s="38"/>
      <c r="BY111" s="38"/>
      <c r="BZ111" s="38"/>
      <c r="CA111" s="38"/>
      <c r="CB111" s="38"/>
    </row>
    <row r="112" spans="1:80" ht="12.95" customHeight="1">
      <c r="A112" s="38"/>
      <c r="B112" s="506"/>
      <c r="C112" s="38"/>
      <c r="D112" s="38"/>
      <c r="E112" s="38"/>
      <c r="F112" s="38"/>
      <c r="G112" s="38"/>
      <c r="H112" s="38"/>
      <c r="I112" s="38"/>
      <c r="J112" s="38"/>
      <c r="K112" s="38"/>
      <c r="L112" s="38"/>
      <c r="M112" s="38"/>
      <c r="N112" s="38"/>
      <c r="O112" s="38"/>
      <c r="P112" s="38"/>
      <c r="Q112" s="38"/>
      <c r="R112" s="38"/>
      <c r="S112" s="38"/>
      <c r="T112" s="38"/>
      <c r="U112" s="38"/>
      <c r="V112" s="38"/>
      <c r="W112" s="38"/>
      <c r="X112" s="38"/>
      <c r="Y112" s="38"/>
      <c r="Z112" s="38"/>
      <c r="AA112" s="38"/>
      <c r="AB112" s="38"/>
      <c r="AC112" s="38"/>
      <c r="AD112" s="38"/>
      <c r="AE112" s="38"/>
      <c r="AF112" s="38"/>
      <c r="AG112" s="38"/>
      <c r="AH112" s="38"/>
      <c r="AI112" s="38"/>
      <c r="AJ112" s="38"/>
      <c r="AK112" s="38"/>
      <c r="AL112" s="38"/>
      <c r="AM112" s="38"/>
      <c r="AN112" s="38"/>
      <c r="AO112" s="38"/>
      <c r="AP112" s="38"/>
      <c r="AQ112" s="38"/>
      <c r="AR112" s="38"/>
      <c r="AS112" s="38"/>
      <c r="AT112" s="38"/>
      <c r="AU112" s="38"/>
      <c r="AV112" s="38"/>
      <c r="AW112" s="38"/>
      <c r="AX112" s="38"/>
      <c r="AY112" s="38"/>
      <c r="AZ112" s="38"/>
      <c r="BA112" s="38"/>
      <c r="BB112" s="38"/>
      <c r="BC112" s="38"/>
      <c r="BD112" s="38"/>
      <c r="BE112" s="38"/>
      <c r="BF112" s="38"/>
      <c r="BJ112" s="38"/>
      <c r="BK112" s="38"/>
      <c r="BL112" s="38"/>
      <c r="BM112" s="38"/>
      <c r="BN112" s="38"/>
      <c r="BO112" s="38"/>
      <c r="BP112" s="38"/>
      <c r="BQ112" s="38"/>
      <c r="BR112" s="38"/>
      <c r="BS112" s="38"/>
      <c r="BT112" s="38"/>
      <c r="BU112" s="38"/>
      <c r="BV112" s="38"/>
      <c r="BW112" s="38"/>
      <c r="BX112" s="38"/>
      <c r="BY112" s="38"/>
      <c r="BZ112" s="38"/>
      <c r="CA112" s="38"/>
      <c r="CB112" s="38"/>
    </row>
    <row r="113" spans="2:5" s="38" customFormat="1" ht="12.95" customHeight="1">
      <c r="B113" s="506"/>
    </row>
    <row r="114" spans="2:5" s="38" customFormat="1" ht="12.95" customHeight="1">
      <c r="B114" s="506"/>
    </row>
    <row r="115" spans="2:5" s="38" customFormat="1" ht="12.95" customHeight="1">
      <c r="B115" s="506"/>
    </row>
    <row r="116" spans="2:5" s="38" customFormat="1" ht="12.95" customHeight="1">
      <c r="B116" s="506"/>
    </row>
    <row r="117" spans="2:5" s="38" customFormat="1" ht="12.95" customHeight="1">
      <c r="B117" s="506"/>
    </row>
    <row r="118" spans="2:5" s="38" customFormat="1" ht="12.95" customHeight="1">
      <c r="B118" s="506"/>
    </row>
    <row r="119" spans="2:5" s="38" customFormat="1" ht="12.95" customHeight="1">
      <c r="B119" s="506"/>
    </row>
    <row r="120" spans="2:5" s="38" customFormat="1" ht="12.95" customHeight="1">
      <c r="B120" s="506"/>
    </row>
    <row r="121" spans="2:5" s="38" customFormat="1" ht="12.95" customHeight="1">
      <c r="B121" s="506"/>
    </row>
    <row r="122" spans="2:5" s="38" customFormat="1" ht="12.95" customHeight="1">
      <c r="B122" s="506"/>
    </row>
    <row r="123" spans="2:5" s="38" customFormat="1" ht="12.95" customHeight="1">
      <c r="B123" s="506"/>
    </row>
    <row r="124" spans="2:5" s="38" customFormat="1" ht="12.95" customHeight="1">
      <c r="B124" s="506"/>
      <c r="E124" s="246"/>
    </row>
    <row r="125" spans="2:5" s="38" customFormat="1" ht="12.95" customHeight="1">
      <c r="B125" s="506"/>
    </row>
    <row r="126" spans="2:5" s="38" customFormat="1" ht="12.95" customHeight="1">
      <c r="B126" s="506"/>
    </row>
    <row r="127" spans="2:5" s="38" customFormat="1" ht="12.95" customHeight="1">
      <c r="B127" s="506"/>
    </row>
    <row r="128" spans="2:5" s="38" customFormat="1" ht="12.95" customHeight="1">
      <c r="B128" s="506"/>
    </row>
    <row r="129" spans="2:2" s="38" customFormat="1" ht="12.95" customHeight="1">
      <c r="B129" s="518"/>
    </row>
    <row r="130" spans="2:2" s="38" customFormat="1" ht="12.95" customHeight="1">
      <c r="B130" s="506"/>
    </row>
    <row r="131" spans="2:2" s="38" customFormat="1" ht="12.95" customHeight="1">
      <c r="B131" s="506"/>
    </row>
    <row r="132" spans="2:2" s="38" customFormat="1" ht="12.95" customHeight="1">
      <c r="B132" s="506"/>
    </row>
    <row r="133" spans="2:2" s="38" customFormat="1" ht="12.95" customHeight="1">
      <c r="B133" s="506"/>
    </row>
    <row r="134" spans="2:2" s="38" customFormat="1" ht="12.95" customHeight="1">
      <c r="B134" s="506"/>
    </row>
    <row r="135" spans="2:2" s="38" customFormat="1" ht="12.95" customHeight="1">
      <c r="B135" s="506"/>
    </row>
    <row r="136" spans="2:2" s="38" customFormat="1" ht="12.95" customHeight="1">
      <c r="B136" s="506"/>
    </row>
    <row r="137" spans="2:2" s="38" customFormat="1" ht="12.95" customHeight="1">
      <c r="B137" s="506"/>
    </row>
    <row r="138" spans="2:2" s="38" customFormat="1" ht="12.95" customHeight="1">
      <c r="B138" s="506"/>
    </row>
    <row r="139" spans="2:2" s="38" customFormat="1" ht="12.95" customHeight="1">
      <c r="B139" s="506"/>
    </row>
    <row r="140" spans="2:2" s="38" customFormat="1" ht="12.95" customHeight="1">
      <c r="B140" s="506"/>
    </row>
    <row r="288" spans="2:2" ht="12.95" customHeight="1">
      <c r="B288" s="520"/>
    </row>
    <row r="307" spans="2:21" ht="12.95" customHeight="1">
      <c r="N307" s="115"/>
      <c r="O307" s="115"/>
      <c r="P307" s="115"/>
      <c r="Q307" s="115"/>
      <c r="R307" s="115"/>
      <c r="S307" s="115"/>
      <c r="T307" s="115"/>
      <c r="U307" s="115"/>
    </row>
    <row r="311" spans="2:21" ht="12.95" customHeight="1">
      <c r="E311" s="113"/>
    </row>
    <row r="312" spans="2:21" ht="12.95" customHeight="1">
      <c r="I312" s="115"/>
      <c r="J312" s="115"/>
      <c r="K312" s="115"/>
      <c r="L312" s="115"/>
      <c r="M312" s="115"/>
    </row>
    <row r="316" spans="2:21" ht="12.95" customHeight="1">
      <c r="B316" s="520"/>
      <c r="C316" s="114"/>
      <c r="D316" s="114"/>
    </row>
    <row r="322" spans="2:5" ht="12.95" customHeight="1">
      <c r="E322" s="114"/>
    </row>
    <row r="327" spans="2:5" ht="12.95" customHeight="1">
      <c r="B327" s="521"/>
    </row>
    <row r="341" spans="2:21" ht="12.95" customHeight="1">
      <c r="N341" s="116"/>
      <c r="O341" s="116"/>
      <c r="P341" s="116"/>
      <c r="Q341" s="116"/>
      <c r="R341" s="116"/>
      <c r="S341" s="116"/>
      <c r="T341" s="116"/>
      <c r="U341" s="116"/>
    </row>
    <row r="342" spans="2:21" ht="12.95" customHeight="1">
      <c r="N342" s="116"/>
      <c r="O342" s="116"/>
      <c r="P342" s="116"/>
      <c r="Q342" s="116"/>
      <c r="R342" s="116"/>
      <c r="S342" s="116"/>
      <c r="T342" s="116"/>
      <c r="U342" s="116"/>
    </row>
    <row r="343" spans="2:21" ht="12.95" customHeight="1">
      <c r="N343" s="116"/>
      <c r="O343" s="116"/>
      <c r="P343" s="116"/>
      <c r="Q343" s="116"/>
      <c r="R343" s="116"/>
      <c r="S343" s="116"/>
      <c r="T343" s="116"/>
      <c r="U343" s="116"/>
    </row>
    <row r="344" spans="2:21" ht="12.95" customHeight="1">
      <c r="N344" s="116"/>
      <c r="O344" s="116"/>
      <c r="P344" s="116"/>
      <c r="Q344" s="116"/>
      <c r="R344" s="116"/>
      <c r="S344" s="116"/>
      <c r="T344" s="116"/>
      <c r="U344" s="116"/>
    </row>
    <row r="345" spans="2:21" ht="12.95" customHeight="1">
      <c r="E345" s="116"/>
      <c r="F345" s="116"/>
      <c r="G345" s="116"/>
      <c r="H345" s="116"/>
      <c r="N345" s="116"/>
      <c r="O345" s="116"/>
      <c r="P345" s="116"/>
      <c r="Q345" s="116"/>
      <c r="R345" s="116"/>
      <c r="S345" s="116"/>
      <c r="T345" s="116"/>
      <c r="U345" s="116"/>
    </row>
    <row r="346" spans="2:21" ht="12.95" customHeight="1">
      <c r="E346" s="116"/>
      <c r="F346" s="116"/>
      <c r="G346" s="116"/>
      <c r="H346" s="116"/>
      <c r="I346" s="116"/>
      <c r="J346" s="116"/>
      <c r="K346" s="116"/>
      <c r="L346" s="116"/>
      <c r="M346" s="116"/>
      <c r="N346" s="116"/>
      <c r="O346" s="116"/>
      <c r="P346" s="116"/>
      <c r="Q346" s="116"/>
      <c r="R346" s="116"/>
      <c r="S346" s="116"/>
      <c r="T346" s="116"/>
      <c r="U346" s="116"/>
    </row>
    <row r="347" spans="2:21" ht="12.95" customHeight="1">
      <c r="E347" s="116"/>
      <c r="F347" s="116"/>
      <c r="G347" s="116"/>
      <c r="H347" s="116"/>
      <c r="I347" s="116"/>
      <c r="J347" s="116"/>
      <c r="K347" s="116"/>
      <c r="L347" s="116"/>
      <c r="M347" s="116"/>
      <c r="N347" s="116"/>
      <c r="O347" s="116"/>
      <c r="P347" s="116"/>
      <c r="Q347" s="116"/>
      <c r="R347" s="116"/>
      <c r="S347" s="116"/>
      <c r="T347" s="116"/>
      <c r="U347" s="116"/>
    </row>
    <row r="348" spans="2:21" ht="12.95" customHeight="1">
      <c r="E348" s="116"/>
      <c r="F348" s="116"/>
      <c r="G348" s="116"/>
      <c r="H348" s="116"/>
      <c r="I348" s="116"/>
      <c r="J348" s="116"/>
      <c r="K348" s="116"/>
      <c r="L348" s="116"/>
      <c r="M348" s="116"/>
      <c r="N348" s="116"/>
      <c r="O348" s="116"/>
      <c r="P348" s="116"/>
      <c r="Q348" s="116"/>
      <c r="R348" s="116"/>
      <c r="S348" s="116"/>
      <c r="T348" s="116"/>
      <c r="U348" s="116"/>
    </row>
    <row r="349" spans="2:21" ht="12.95" customHeight="1">
      <c r="E349" s="116"/>
      <c r="F349" s="116"/>
      <c r="G349" s="116"/>
      <c r="H349" s="116"/>
      <c r="I349" s="116"/>
      <c r="J349" s="116"/>
      <c r="K349" s="116"/>
      <c r="L349" s="116"/>
      <c r="M349" s="116"/>
      <c r="N349" s="117"/>
      <c r="O349" s="117"/>
      <c r="P349" s="117"/>
      <c r="Q349" s="117"/>
      <c r="R349" s="117"/>
      <c r="S349" s="117"/>
      <c r="T349" s="117"/>
      <c r="U349" s="117"/>
    </row>
    <row r="350" spans="2:21" ht="12.95" customHeight="1">
      <c r="B350" s="522"/>
      <c r="C350" s="116"/>
      <c r="D350" s="116"/>
      <c r="E350" s="116"/>
      <c r="F350" s="116"/>
      <c r="G350" s="116"/>
      <c r="H350" s="116"/>
      <c r="I350" s="116"/>
      <c r="J350" s="116"/>
      <c r="K350" s="116"/>
      <c r="L350" s="116"/>
      <c r="M350" s="116"/>
      <c r="N350" s="117"/>
      <c r="O350" s="117"/>
      <c r="P350" s="117"/>
      <c r="Q350" s="117"/>
      <c r="R350" s="117"/>
      <c r="S350" s="117"/>
      <c r="T350" s="117"/>
      <c r="U350" s="117"/>
    </row>
    <row r="351" spans="2:21" ht="12.95" customHeight="1">
      <c r="B351" s="522"/>
      <c r="C351" s="116"/>
      <c r="D351" s="116"/>
      <c r="E351" s="116"/>
      <c r="F351" s="116"/>
      <c r="G351" s="116"/>
      <c r="H351" s="116"/>
      <c r="I351" s="116"/>
      <c r="J351" s="116"/>
      <c r="K351" s="116"/>
      <c r="L351" s="116"/>
      <c r="M351" s="116"/>
      <c r="N351" s="117"/>
      <c r="O351" s="117"/>
      <c r="P351" s="117"/>
      <c r="Q351" s="117"/>
      <c r="R351" s="117"/>
      <c r="S351" s="117"/>
      <c r="T351" s="117"/>
      <c r="U351" s="117"/>
    </row>
    <row r="352" spans="2:21" ht="12.95" customHeight="1">
      <c r="B352" s="522"/>
      <c r="C352" s="116"/>
      <c r="D352" s="116"/>
      <c r="E352" s="116"/>
      <c r="F352" s="116"/>
      <c r="G352" s="116"/>
      <c r="H352" s="116"/>
      <c r="I352" s="116"/>
      <c r="J352" s="116"/>
      <c r="K352" s="116"/>
      <c r="L352" s="116"/>
      <c r="M352" s="116"/>
      <c r="N352" s="117"/>
      <c r="O352" s="117"/>
      <c r="P352" s="117"/>
      <c r="Q352" s="117"/>
      <c r="R352" s="117"/>
      <c r="S352" s="117"/>
      <c r="T352" s="117"/>
      <c r="U352" s="117"/>
    </row>
    <row r="353" spans="2:21" ht="12.95" customHeight="1">
      <c r="B353" s="522"/>
      <c r="C353" s="116"/>
      <c r="D353" s="116"/>
      <c r="E353" s="116"/>
      <c r="F353" s="116"/>
      <c r="G353" s="116"/>
      <c r="H353" s="116"/>
      <c r="I353" s="116"/>
      <c r="J353" s="116"/>
      <c r="K353" s="116"/>
      <c r="L353" s="116"/>
      <c r="M353" s="116"/>
      <c r="N353" s="117"/>
      <c r="O353" s="117"/>
      <c r="P353" s="117"/>
      <c r="Q353" s="117"/>
      <c r="R353" s="117"/>
      <c r="S353" s="117"/>
      <c r="T353" s="117"/>
      <c r="U353" s="117"/>
    </row>
    <row r="354" spans="2:21" ht="12.95" customHeight="1">
      <c r="B354" s="522"/>
      <c r="C354" s="116"/>
      <c r="D354" s="116"/>
      <c r="E354" s="116"/>
      <c r="F354" s="116"/>
      <c r="G354" s="116"/>
      <c r="H354" s="116"/>
      <c r="I354" s="117"/>
      <c r="J354" s="117"/>
      <c r="K354" s="117"/>
      <c r="L354" s="117"/>
      <c r="M354" s="117"/>
      <c r="N354" s="117"/>
      <c r="O354" s="117"/>
      <c r="P354" s="117"/>
      <c r="Q354" s="117"/>
      <c r="R354" s="117"/>
      <c r="S354" s="117"/>
      <c r="T354" s="117"/>
      <c r="U354" s="117"/>
    </row>
    <row r="355" spans="2:21" ht="12.95" customHeight="1">
      <c r="B355" s="522"/>
      <c r="C355" s="116"/>
      <c r="D355" s="116"/>
      <c r="E355" s="116"/>
      <c r="F355" s="116"/>
      <c r="G355" s="116"/>
      <c r="H355" s="116"/>
      <c r="I355" s="117"/>
      <c r="J355" s="117"/>
      <c r="K355" s="117"/>
      <c r="L355" s="117"/>
      <c r="M355" s="117"/>
      <c r="N355" s="117"/>
      <c r="O355" s="117"/>
      <c r="P355" s="117"/>
      <c r="Q355" s="117"/>
      <c r="R355" s="117"/>
      <c r="S355" s="117"/>
      <c r="T355" s="117"/>
      <c r="U355" s="117"/>
    </row>
    <row r="356" spans="2:21" ht="12.95" customHeight="1">
      <c r="B356" s="522"/>
      <c r="C356" s="116"/>
      <c r="D356" s="116"/>
      <c r="E356" s="116"/>
      <c r="F356" s="118"/>
      <c r="G356" s="118"/>
      <c r="H356" s="118"/>
      <c r="I356" s="117"/>
      <c r="J356" s="117"/>
      <c r="K356" s="117"/>
      <c r="L356" s="117"/>
      <c r="M356" s="117"/>
      <c r="N356" s="117"/>
      <c r="O356" s="117"/>
      <c r="P356" s="117"/>
      <c r="Q356" s="117"/>
      <c r="R356" s="117"/>
      <c r="S356" s="117"/>
      <c r="T356" s="117"/>
      <c r="U356" s="117"/>
    </row>
    <row r="357" spans="2:21" ht="12.95" customHeight="1">
      <c r="B357" s="522"/>
      <c r="C357" s="116"/>
      <c r="D357" s="116"/>
      <c r="E357" s="118"/>
      <c r="F357" s="119"/>
      <c r="G357" s="119"/>
      <c r="H357" s="119"/>
      <c r="I357" s="117"/>
      <c r="J357" s="117"/>
      <c r="K357" s="117"/>
      <c r="L357" s="117"/>
      <c r="M357" s="117"/>
      <c r="N357" s="117"/>
      <c r="O357" s="117"/>
      <c r="P357" s="117"/>
      <c r="Q357" s="117"/>
      <c r="R357" s="117"/>
      <c r="S357" s="117"/>
      <c r="T357" s="117"/>
      <c r="U357" s="117"/>
    </row>
    <row r="358" spans="2:21" ht="12.95" customHeight="1">
      <c r="B358" s="522"/>
      <c r="C358" s="116"/>
      <c r="D358" s="116"/>
      <c r="E358" s="118"/>
      <c r="F358" s="119"/>
      <c r="G358" s="119"/>
      <c r="H358" s="119"/>
      <c r="I358" s="117"/>
      <c r="J358" s="117"/>
      <c r="K358" s="117"/>
      <c r="L358" s="117"/>
      <c r="M358" s="117"/>
      <c r="N358" s="117"/>
      <c r="O358" s="117"/>
      <c r="P358" s="117"/>
      <c r="Q358" s="117"/>
      <c r="R358" s="117"/>
      <c r="S358" s="117"/>
      <c r="T358" s="117"/>
      <c r="U358" s="117"/>
    </row>
    <row r="359" spans="2:21" ht="12.95" customHeight="1">
      <c r="B359" s="522"/>
      <c r="C359" s="116"/>
      <c r="D359" s="116"/>
      <c r="E359" s="118"/>
      <c r="F359" s="119"/>
      <c r="G359" s="119"/>
      <c r="H359" s="119"/>
      <c r="I359" s="117"/>
      <c r="J359" s="117"/>
      <c r="K359" s="117"/>
      <c r="L359" s="117"/>
      <c r="M359" s="117"/>
      <c r="N359" s="117"/>
      <c r="O359" s="117"/>
      <c r="P359" s="117"/>
      <c r="Q359" s="117"/>
      <c r="R359" s="117"/>
      <c r="S359" s="117"/>
      <c r="T359" s="117"/>
      <c r="U359" s="117"/>
    </row>
    <row r="360" spans="2:21" ht="12.95" customHeight="1">
      <c r="B360" s="522"/>
      <c r="C360" s="116"/>
      <c r="D360" s="116"/>
      <c r="E360" s="119"/>
      <c r="F360" s="116"/>
      <c r="G360" s="116"/>
      <c r="H360" s="116"/>
      <c r="I360" s="117"/>
      <c r="J360" s="117"/>
      <c r="K360" s="117"/>
      <c r="L360" s="117"/>
      <c r="M360" s="117"/>
      <c r="N360" s="120"/>
      <c r="O360" s="120"/>
      <c r="P360" s="120"/>
      <c r="Q360" s="120"/>
      <c r="R360" s="120"/>
      <c r="S360" s="120"/>
      <c r="T360" s="120"/>
      <c r="U360" s="120"/>
    </row>
    <row r="361" spans="2:21" ht="12.95" customHeight="1">
      <c r="B361" s="522"/>
      <c r="C361" s="116"/>
      <c r="D361" s="116"/>
      <c r="E361" s="116"/>
      <c r="F361" s="116"/>
      <c r="G361" s="116"/>
      <c r="H361" s="116"/>
      <c r="I361" s="117"/>
      <c r="J361" s="117"/>
      <c r="K361" s="117"/>
      <c r="L361" s="117"/>
      <c r="M361" s="117"/>
      <c r="N361" s="120"/>
      <c r="O361" s="120"/>
      <c r="P361" s="120"/>
      <c r="Q361" s="120"/>
      <c r="R361" s="120"/>
      <c r="S361" s="120"/>
      <c r="T361" s="120"/>
      <c r="U361" s="120"/>
    </row>
    <row r="362" spans="2:21" ht="12.95" customHeight="1">
      <c r="B362" s="523"/>
      <c r="C362" s="116"/>
      <c r="D362" s="116"/>
      <c r="E362" s="116"/>
      <c r="F362" s="116"/>
      <c r="G362" s="116"/>
      <c r="H362" s="116"/>
      <c r="I362" s="117"/>
      <c r="J362" s="117"/>
      <c r="K362" s="117"/>
      <c r="L362" s="117"/>
      <c r="M362" s="117"/>
      <c r="N362" s="120"/>
      <c r="O362" s="120"/>
      <c r="P362" s="120"/>
      <c r="Q362" s="120"/>
      <c r="R362" s="120"/>
      <c r="S362" s="120"/>
      <c r="T362" s="120"/>
      <c r="U362" s="120"/>
    </row>
    <row r="363" spans="2:21" ht="12.95" customHeight="1">
      <c r="B363" s="523"/>
      <c r="C363" s="116"/>
      <c r="D363" s="116"/>
      <c r="E363" s="116"/>
      <c r="F363" s="118"/>
      <c r="G363" s="118"/>
      <c r="H363" s="118"/>
      <c r="I363" s="117"/>
      <c r="J363" s="117"/>
      <c r="K363" s="117"/>
      <c r="L363" s="117"/>
      <c r="M363" s="117"/>
      <c r="N363" s="120"/>
      <c r="O363" s="120"/>
      <c r="P363" s="120"/>
      <c r="Q363" s="120"/>
      <c r="R363" s="120"/>
      <c r="S363" s="120"/>
      <c r="T363" s="120"/>
      <c r="U363" s="120"/>
    </row>
    <row r="364" spans="2:21" ht="12.95" customHeight="1">
      <c r="B364" s="523"/>
      <c r="C364" s="116"/>
      <c r="D364" s="116"/>
      <c r="E364" s="117"/>
      <c r="F364" s="117"/>
      <c r="G364" s="117"/>
      <c r="H364" s="117"/>
      <c r="I364" s="117"/>
      <c r="J364" s="117"/>
      <c r="K364" s="117"/>
      <c r="L364" s="117"/>
      <c r="M364" s="117"/>
      <c r="N364" s="120"/>
      <c r="O364" s="120"/>
      <c r="P364" s="120"/>
      <c r="Q364" s="120"/>
      <c r="R364" s="120"/>
      <c r="S364" s="120"/>
      <c r="T364" s="120"/>
      <c r="U364" s="120"/>
    </row>
    <row r="365" spans="2:21" ht="12.95" customHeight="1">
      <c r="B365" s="524"/>
      <c r="C365" s="118"/>
      <c r="D365" s="118"/>
      <c r="E365" s="117"/>
      <c r="F365" s="117"/>
      <c r="G365" s="117"/>
      <c r="H365" s="117"/>
      <c r="I365" s="120"/>
      <c r="J365" s="120"/>
      <c r="K365" s="120"/>
      <c r="L365" s="120"/>
      <c r="M365" s="120"/>
      <c r="N365" s="120"/>
      <c r="O365" s="120"/>
      <c r="P365" s="120"/>
      <c r="Q365" s="120"/>
      <c r="R365" s="120"/>
      <c r="S365" s="120"/>
      <c r="T365" s="120"/>
      <c r="U365" s="120"/>
    </row>
    <row r="366" spans="2:21" ht="12.95" customHeight="1">
      <c r="B366" s="524"/>
      <c r="C366" s="116"/>
      <c r="D366" s="116"/>
      <c r="E366" s="117"/>
      <c r="F366" s="117"/>
      <c r="G366" s="117"/>
      <c r="H366" s="117"/>
      <c r="I366" s="120"/>
      <c r="J366" s="120"/>
      <c r="K366" s="120"/>
      <c r="L366" s="120"/>
      <c r="M366" s="120"/>
      <c r="N366" s="120"/>
      <c r="O366" s="120"/>
      <c r="P366" s="120"/>
      <c r="Q366" s="120"/>
      <c r="R366" s="120"/>
      <c r="S366" s="120"/>
      <c r="T366" s="120"/>
      <c r="U366" s="120"/>
    </row>
    <row r="367" spans="2:21" ht="12.95" customHeight="1">
      <c r="B367" s="524"/>
      <c r="C367" s="116"/>
      <c r="D367" s="116"/>
      <c r="E367" s="117"/>
      <c r="F367" s="117"/>
      <c r="G367" s="117"/>
      <c r="H367" s="117"/>
      <c r="I367" s="120"/>
      <c r="J367" s="120"/>
      <c r="K367" s="120"/>
      <c r="L367" s="120"/>
      <c r="M367" s="120"/>
      <c r="N367" s="120"/>
      <c r="O367" s="120"/>
      <c r="P367" s="120"/>
      <c r="Q367" s="120"/>
      <c r="R367" s="120"/>
      <c r="S367" s="120"/>
      <c r="T367" s="120"/>
      <c r="U367" s="120"/>
    </row>
    <row r="368" spans="2:21" ht="12.95" customHeight="1">
      <c r="B368" s="524"/>
      <c r="C368" s="116"/>
      <c r="D368" s="116"/>
      <c r="E368" s="117"/>
      <c r="F368" s="117"/>
      <c r="G368" s="117"/>
      <c r="H368" s="117"/>
      <c r="I368" s="120"/>
      <c r="J368" s="120"/>
      <c r="K368" s="120"/>
      <c r="L368" s="120"/>
      <c r="M368" s="120"/>
      <c r="N368" s="120"/>
      <c r="O368" s="120"/>
      <c r="P368" s="120"/>
      <c r="Q368" s="120"/>
      <c r="R368" s="120"/>
      <c r="S368" s="120"/>
      <c r="T368" s="120"/>
      <c r="U368" s="120"/>
    </row>
    <row r="369" spans="2:21" ht="12.95" customHeight="1">
      <c r="B369" s="524"/>
      <c r="C369" s="121"/>
      <c r="D369" s="121"/>
      <c r="E369" s="117"/>
      <c r="F369" s="117"/>
      <c r="G369" s="117"/>
      <c r="H369" s="117"/>
      <c r="I369" s="120"/>
      <c r="J369" s="120"/>
      <c r="K369" s="120"/>
      <c r="L369" s="120"/>
      <c r="M369" s="120"/>
      <c r="N369" s="120"/>
      <c r="O369" s="120"/>
      <c r="P369" s="120"/>
      <c r="Q369" s="120"/>
      <c r="R369" s="120"/>
      <c r="S369" s="120"/>
      <c r="T369" s="120"/>
      <c r="U369" s="120"/>
    </row>
    <row r="370" spans="2:21" ht="12.95" customHeight="1">
      <c r="B370" s="524"/>
      <c r="C370" s="121"/>
      <c r="D370" s="121"/>
      <c r="E370" s="117"/>
      <c r="F370" s="117"/>
      <c r="G370" s="117"/>
      <c r="H370" s="117"/>
      <c r="I370" s="120"/>
      <c r="J370" s="120"/>
      <c r="K370" s="120"/>
      <c r="L370" s="120"/>
      <c r="M370" s="120"/>
      <c r="N370" s="120"/>
      <c r="O370" s="120"/>
      <c r="P370" s="120"/>
      <c r="Q370" s="120"/>
      <c r="R370" s="120"/>
      <c r="S370" s="120"/>
      <c r="T370" s="120"/>
      <c r="U370" s="120"/>
    </row>
    <row r="371" spans="2:21" ht="12.95" customHeight="1">
      <c r="B371" s="524"/>
      <c r="C371" s="121"/>
      <c r="D371" s="121"/>
      <c r="E371" s="117"/>
      <c r="F371" s="117"/>
      <c r="G371" s="117"/>
      <c r="H371" s="117"/>
      <c r="I371" s="120"/>
      <c r="J371" s="120"/>
      <c r="K371" s="120"/>
      <c r="L371" s="120"/>
      <c r="M371" s="120"/>
      <c r="N371" s="116"/>
      <c r="O371" s="116"/>
      <c r="P371" s="116"/>
      <c r="Q371" s="116"/>
      <c r="R371" s="116"/>
      <c r="S371" s="116"/>
      <c r="T371" s="116"/>
      <c r="U371" s="116"/>
    </row>
    <row r="372" spans="2:21" ht="12.95" customHeight="1">
      <c r="B372" s="524"/>
      <c r="C372" s="121"/>
      <c r="D372" s="121"/>
      <c r="E372" s="117"/>
      <c r="F372" s="117"/>
      <c r="G372" s="117"/>
      <c r="H372" s="117"/>
      <c r="I372" s="120"/>
      <c r="J372" s="120"/>
      <c r="K372" s="120"/>
      <c r="L372" s="120"/>
      <c r="M372" s="120"/>
      <c r="N372" s="116"/>
      <c r="O372" s="116"/>
      <c r="P372" s="116"/>
      <c r="Q372" s="116"/>
      <c r="R372" s="116"/>
      <c r="S372" s="116"/>
      <c r="T372" s="116"/>
      <c r="U372" s="116"/>
    </row>
    <row r="373" spans="2:21" ht="12.95" customHeight="1">
      <c r="B373" s="524"/>
      <c r="C373" s="121"/>
      <c r="D373" s="121"/>
      <c r="E373" s="117"/>
      <c r="F373" s="117"/>
      <c r="G373" s="117"/>
      <c r="H373" s="117"/>
      <c r="I373" s="120"/>
      <c r="J373" s="120"/>
      <c r="K373" s="120"/>
      <c r="L373" s="120"/>
      <c r="M373" s="120"/>
      <c r="N373" s="116"/>
      <c r="O373" s="116"/>
      <c r="P373" s="116"/>
      <c r="Q373" s="116"/>
      <c r="R373" s="116"/>
      <c r="S373" s="116"/>
      <c r="T373" s="116"/>
      <c r="U373" s="116"/>
    </row>
    <row r="374" spans="2:21" ht="12.95" customHeight="1">
      <c r="B374" s="524"/>
      <c r="C374" s="121"/>
      <c r="D374" s="121"/>
      <c r="E374" s="117"/>
      <c r="F374" s="117"/>
      <c r="G374" s="117"/>
      <c r="H374" s="117"/>
      <c r="I374" s="120"/>
      <c r="J374" s="120"/>
      <c r="K374" s="120"/>
      <c r="L374" s="120"/>
      <c r="M374" s="120"/>
      <c r="N374" s="122"/>
      <c r="O374" s="122"/>
      <c r="P374" s="122"/>
      <c r="Q374" s="122"/>
      <c r="R374" s="122"/>
      <c r="S374" s="122"/>
      <c r="T374" s="122"/>
      <c r="U374" s="122"/>
    </row>
    <row r="375" spans="2:21" ht="12.95" customHeight="1">
      <c r="B375" s="524"/>
      <c r="C375" s="121"/>
      <c r="D375" s="121"/>
      <c r="E375" s="117"/>
      <c r="F375" s="116"/>
      <c r="G375" s="116"/>
      <c r="H375" s="116"/>
      <c r="I375" s="120"/>
      <c r="J375" s="120"/>
      <c r="K375" s="120"/>
      <c r="L375" s="120"/>
      <c r="M375" s="120"/>
      <c r="N375" s="122"/>
      <c r="O375" s="122"/>
      <c r="P375" s="122"/>
      <c r="Q375" s="122"/>
      <c r="R375" s="122"/>
      <c r="S375" s="122"/>
      <c r="T375" s="122"/>
      <c r="U375" s="122"/>
    </row>
    <row r="376" spans="2:21" ht="12.95" customHeight="1">
      <c r="B376" s="524"/>
      <c r="C376" s="121"/>
      <c r="D376" s="121"/>
      <c r="E376" s="116"/>
      <c r="F376" s="117"/>
      <c r="G376" s="117"/>
      <c r="H376" s="117"/>
      <c r="I376" s="116"/>
      <c r="J376" s="116"/>
      <c r="K376" s="116"/>
      <c r="L376" s="116"/>
      <c r="M376" s="116"/>
      <c r="N376" s="122"/>
      <c r="O376" s="122"/>
      <c r="P376" s="122"/>
      <c r="Q376" s="122"/>
      <c r="R376" s="122"/>
      <c r="S376" s="122"/>
      <c r="T376" s="122"/>
      <c r="U376" s="122"/>
    </row>
    <row r="377" spans="2:21" ht="12.95" customHeight="1">
      <c r="B377" s="524"/>
      <c r="C377" s="121"/>
      <c r="D377" s="121"/>
      <c r="E377" s="116"/>
      <c r="F377" s="117"/>
      <c r="G377" s="117"/>
      <c r="H377" s="117"/>
      <c r="I377" s="116"/>
      <c r="J377" s="116"/>
      <c r="K377" s="116"/>
      <c r="L377" s="116"/>
      <c r="M377" s="116"/>
      <c r="N377" s="122"/>
      <c r="O377" s="122"/>
      <c r="P377" s="122"/>
      <c r="Q377" s="122"/>
      <c r="R377" s="122"/>
      <c r="S377" s="122"/>
      <c r="T377" s="122"/>
      <c r="U377" s="122"/>
    </row>
    <row r="378" spans="2:21" ht="12.95" customHeight="1">
      <c r="B378" s="524"/>
      <c r="C378" s="121"/>
      <c r="D378" s="121"/>
      <c r="E378" s="117"/>
      <c r="F378" s="117"/>
      <c r="G378" s="117"/>
      <c r="H378" s="117"/>
      <c r="I378" s="116"/>
      <c r="J378" s="116"/>
      <c r="K378" s="116"/>
      <c r="L378" s="116"/>
      <c r="M378" s="116"/>
      <c r="N378" s="122"/>
      <c r="O378" s="122"/>
      <c r="P378" s="122"/>
      <c r="Q378" s="122"/>
      <c r="R378" s="122"/>
      <c r="S378" s="122"/>
      <c r="T378" s="122"/>
      <c r="U378" s="122"/>
    </row>
    <row r="379" spans="2:21" ht="12.95" customHeight="1">
      <c r="B379" s="524"/>
      <c r="C379" s="121"/>
      <c r="D379" s="121"/>
      <c r="E379" s="117"/>
      <c r="F379" s="117"/>
      <c r="G379" s="117"/>
      <c r="H379" s="117"/>
      <c r="I379" s="122"/>
      <c r="J379" s="122"/>
      <c r="K379" s="122"/>
      <c r="L379" s="122"/>
      <c r="M379" s="122"/>
      <c r="N379" s="122"/>
      <c r="O379" s="122"/>
      <c r="P379" s="122"/>
      <c r="Q379" s="122"/>
      <c r="R379" s="122"/>
      <c r="S379" s="122"/>
      <c r="T379" s="122"/>
      <c r="U379" s="122"/>
    </row>
    <row r="380" spans="2:21" ht="12.95" customHeight="1">
      <c r="B380" s="524"/>
      <c r="C380" s="116"/>
      <c r="D380" s="116"/>
      <c r="E380" s="117"/>
      <c r="F380" s="117"/>
      <c r="G380" s="117"/>
      <c r="H380" s="117"/>
      <c r="I380" s="122"/>
      <c r="J380" s="122"/>
      <c r="K380" s="122"/>
      <c r="L380" s="122"/>
      <c r="M380" s="122"/>
      <c r="N380" s="122"/>
      <c r="O380" s="122"/>
      <c r="P380" s="122"/>
      <c r="Q380" s="122"/>
      <c r="R380" s="122"/>
      <c r="S380" s="122"/>
      <c r="T380" s="122"/>
      <c r="U380" s="122"/>
    </row>
    <row r="381" spans="2:21" ht="12.95" customHeight="1">
      <c r="B381" s="524"/>
      <c r="C381" s="116"/>
      <c r="D381" s="116"/>
      <c r="E381" s="117"/>
      <c r="F381" s="117"/>
      <c r="G381" s="117"/>
      <c r="H381" s="117"/>
      <c r="I381" s="122"/>
      <c r="J381" s="122"/>
      <c r="K381" s="122"/>
      <c r="L381" s="122"/>
      <c r="M381" s="122"/>
      <c r="N381" s="122"/>
      <c r="O381" s="122"/>
      <c r="P381" s="122"/>
      <c r="Q381" s="122"/>
      <c r="R381" s="122"/>
      <c r="S381" s="122"/>
      <c r="T381" s="122"/>
      <c r="U381" s="122"/>
    </row>
    <row r="382" spans="2:21" ht="12.95" customHeight="1">
      <c r="B382" s="524"/>
      <c r="C382" s="116"/>
      <c r="D382" s="116"/>
      <c r="E382" s="117"/>
      <c r="F382" s="117"/>
      <c r="G382" s="117"/>
      <c r="H382" s="117"/>
      <c r="I382" s="122"/>
      <c r="J382" s="122"/>
      <c r="K382" s="122"/>
      <c r="L382" s="122"/>
      <c r="M382" s="122"/>
      <c r="N382" s="122"/>
      <c r="O382" s="122"/>
      <c r="P382" s="122"/>
      <c r="Q382" s="122"/>
      <c r="R382" s="122"/>
      <c r="S382" s="122"/>
      <c r="T382" s="122"/>
      <c r="U382" s="122"/>
    </row>
    <row r="383" spans="2:21" ht="12.95" customHeight="1">
      <c r="B383" s="524"/>
      <c r="C383" s="119"/>
      <c r="D383" s="119"/>
      <c r="E383" s="117"/>
      <c r="F383" s="117"/>
      <c r="G383" s="117"/>
      <c r="H383" s="117"/>
      <c r="I383" s="122"/>
      <c r="J383" s="122"/>
      <c r="K383" s="122"/>
      <c r="L383" s="122"/>
      <c r="M383" s="122"/>
      <c r="N383" s="122"/>
      <c r="O383" s="122"/>
      <c r="P383" s="122"/>
      <c r="Q383" s="122"/>
      <c r="R383" s="122"/>
      <c r="S383" s="122"/>
      <c r="T383" s="122"/>
      <c r="U383" s="122"/>
    </row>
    <row r="384" spans="2:21" ht="12.95" customHeight="1">
      <c r="B384" s="524"/>
      <c r="C384" s="119"/>
      <c r="D384" s="119"/>
      <c r="E384" s="117"/>
      <c r="F384" s="117"/>
      <c r="G384" s="117"/>
      <c r="H384" s="117"/>
      <c r="I384" s="122"/>
      <c r="J384" s="122"/>
      <c r="K384" s="122"/>
      <c r="L384" s="122"/>
      <c r="M384" s="122"/>
      <c r="N384" s="122"/>
      <c r="O384" s="122"/>
      <c r="P384" s="122"/>
      <c r="Q384" s="122"/>
      <c r="R384" s="122"/>
      <c r="S384" s="122"/>
      <c r="T384" s="122"/>
      <c r="U384" s="122"/>
    </row>
    <row r="385" spans="2:21" ht="12.95" customHeight="1">
      <c r="B385" s="524"/>
      <c r="C385" s="119"/>
      <c r="D385" s="119"/>
      <c r="E385" s="117"/>
      <c r="F385" s="117"/>
      <c r="G385" s="117"/>
      <c r="H385" s="117"/>
      <c r="I385" s="122"/>
      <c r="J385" s="122"/>
      <c r="K385" s="122"/>
      <c r="L385" s="122"/>
      <c r="M385" s="122"/>
      <c r="N385" s="117"/>
      <c r="O385" s="117"/>
      <c r="P385" s="117"/>
      <c r="Q385" s="117"/>
      <c r="R385" s="117"/>
      <c r="S385" s="117"/>
      <c r="T385" s="117"/>
      <c r="U385" s="117"/>
    </row>
    <row r="386" spans="2:21" ht="12.95" customHeight="1">
      <c r="B386" s="524"/>
      <c r="C386" s="119"/>
      <c r="D386" s="119"/>
      <c r="E386" s="117"/>
      <c r="F386" s="117"/>
      <c r="G386" s="117"/>
      <c r="H386" s="117"/>
      <c r="I386" s="122"/>
      <c r="J386" s="122"/>
      <c r="K386" s="122"/>
      <c r="L386" s="122"/>
      <c r="M386" s="122"/>
      <c r="N386" s="116"/>
      <c r="O386" s="116"/>
      <c r="P386" s="116"/>
      <c r="Q386" s="116"/>
      <c r="R386" s="116"/>
      <c r="S386" s="116"/>
      <c r="T386" s="116"/>
      <c r="U386" s="116"/>
    </row>
    <row r="387" spans="2:21" ht="12.95" customHeight="1">
      <c r="B387" s="524"/>
      <c r="C387" s="119"/>
      <c r="D387" s="119"/>
      <c r="E387" s="117"/>
      <c r="F387" s="117"/>
      <c r="G387" s="117"/>
      <c r="H387" s="117"/>
      <c r="I387" s="122"/>
      <c r="J387" s="122"/>
      <c r="K387" s="122"/>
      <c r="L387" s="122"/>
      <c r="M387" s="122"/>
      <c r="N387" s="117"/>
      <c r="O387" s="117"/>
      <c r="P387" s="117"/>
      <c r="Q387" s="117"/>
      <c r="R387" s="117"/>
      <c r="S387" s="117"/>
      <c r="T387" s="117"/>
      <c r="U387" s="117"/>
    </row>
    <row r="388" spans="2:21" ht="12.95" customHeight="1">
      <c r="B388" s="524"/>
      <c r="C388" s="119"/>
      <c r="D388" s="119"/>
      <c r="E388" s="117"/>
      <c r="F388" s="117"/>
      <c r="G388" s="117"/>
      <c r="H388" s="117"/>
      <c r="I388" s="122"/>
      <c r="J388" s="122"/>
      <c r="K388" s="122"/>
      <c r="L388" s="122"/>
      <c r="M388" s="122"/>
      <c r="N388" s="117"/>
      <c r="O388" s="117"/>
      <c r="P388" s="117"/>
      <c r="Q388" s="117"/>
      <c r="R388" s="117"/>
      <c r="S388" s="117"/>
      <c r="T388" s="117"/>
      <c r="U388" s="117"/>
    </row>
    <row r="389" spans="2:21" ht="12.95" customHeight="1">
      <c r="B389" s="524"/>
      <c r="C389" s="119"/>
      <c r="D389" s="119"/>
      <c r="E389" s="117"/>
      <c r="F389" s="117"/>
      <c r="G389" s="117"/>
      <c r="H389" s="117"/>
      <c r="I389" s="122"/>
      <c r="J389" s="122"/>
      <c r="K389" s="122"/>
      <c r="L389" s="122"/>
      <c r="M389" s="122"/>
      <c r="N389" s="117"/>
      <c r="O389" s="117"/>
      <c r="P389" s="117"/>
      <c r="Q389" s="117"/>
      <c r="R389" s="117"/>
      <c r="S389" s="117"/>
      <c r="T389" s="117"/>
      <c r="U389" s="117"/>
    </row>
    <row r="390" spans="2:21" ht="12.95" customHeight="1">
      <c r="B390" s="524"/>
      <c r="C390" s="119"/>
      <c r="D390" s="119"/>
      <c r="E390" s="117"/>
      <c r="F390" s="117"/>
      <c r="G390" s="117"/>
      <c r="H390" s="117"/>
      <c r="I390" s="117"/>
      <c r="J390" s="117"/>
      <c r="K390" s="117"/>
      <c r="L390" s="117"/>
      <c r="M390" s="117"/>
      <c r="N390" s="117"/>
      <c r="O390" s="117"/>
      <c r="P390" s="117"/>
      <c r="Q390" s="117"/>
      <c r="R390" s="117"/>
      <c r="S390" s="117"/>
      <c r="T390" s="117"/>
      <c r="U390" s="117"/>
    </row>
    <row r="391" spans="2:21" ht="12.95" customHeight="1">
      <c r="B391" s="524"/>
      <c r="C391" s="119"/>
      <c r="D391" s="119"/>
      <c r="E391" s="117"/>
      <c r="F391" s="117"/>
      <c r="G391" s="117"/>
      <c r="H391" s="117"/>
      <c r="I391" s="116"/>
      <c r="J391" s="116"/>
      <c r="K391" s="116"/>
      <c r="L391" s="116"/>
      <c r="M391" s="116"/>
      <c r="N391" s="117"/>
      <c r="O391" s="117"/>
      <c r="P391" s="117"/>
      <c r="Q391" s="117"/>
      <c r="R391" s="117"/>
      <c r="S391" s="117"/>
      <c r="T391" s="117"/>
      <c r="U391" s="117"/>
    </row>
    <row r="392" spans="2:21" ht="12.95" customHeight="1">
      <c r="B392" s="524"/>
      <c r="C392" s="119"/>
      <c r="D392" s="119"/>
      <c r="E392" s="117"/>
      <c r="F392" s="119"/>
      <c r="G392" s="119"/>
      <c r="H392" s="119"/>
      <c r="I392" s="117"/>
      <c r="J392" s="117"/>
      <c r="K392" s="117"/>
      <c r="L392" s="117"/>
      <c r="M392" s="117"/>
      <c r="N392" s="117"/>
      <c r="O392" s="117"/>
      <c r="P392" s="117"/>
      <c r="Q392" s="117"/>
      <c r="R392" s="117"/>
      <c r="S392" s="117"/>
      <c r="T392" s="117"/>
      <c r="U392" s="117"/>
    </row>
    <row r="393" spans="2:21" ht="12.95" customHeight="1">
      <c r="B393" s="524"/>
      <c r="C393" s="119"/>
      <c r="D393" s="119"/>
      <c r="E393" s="117"/>
      <c r="F393" s="119"/>
      <c r="G393" s="119"/>
      <c r="H393" s="119"/>
      <c r="I393" s="117"/>
      <c r="J393" s="117"/>
      <c r="K393" s="117"/>
      <c r="L393" s="117"/>
      <c r="M393" s="117"/>
      <c r="N393" s="117"/>
      <c r="O393" s="117"/>
      <c r="P393" s="117"/>
      <c r="Q393" s="117"/>
      <c r="R393" s="117"/>
      <c r="S393" s="117"/>
      <c r="T393" s="117"/>
      <c r="U393" s="117"/>
    </row>
    <row r="394" spans="2:21" ht="12.95" customHeight="1">
      <c r="B394" s="524"/>
      <c r="C394" s="119"/>
      <c r="D394" s="119"/>
      <c r="E394" s="117"/>
      <c r="F394" s="117"/>
      <c r="G394" s="117"/>
      <c r="H394" s="117"/>
      <c r="I394" s="117"/>
      <c r="J394" s="117"/>
      <c r="K394" s="117"/>
      <c r="L394" s="117"/>
      <c r="M394" s="117"/>
      <c r="N394" s="117"/>
      <c r="O394" s="117"/>
      <c r="P394" s="117"/>
      <c r="Q394" s="117"/>
      <c r="R394" s="117"/>
      <c r="S394" s="117"/>
      <c r="T394" s="117"/>
      <c r="U394" s="117"/>
    </row>
    <row r="395" spans="2:21" ht="12.95" customHeight="1">
      <c r="B395" s="524"/>
      <c r="C395" s="116"/>
      <c r="D395" s="116"/>
      <c r="E395" s="117"/>
      <c r="F395" s="117"/>
      <c r="G395" s="117"/>
      <c r="H395" s="117"/>
      <c r="I395" s="117"/>
      <c r="J395" s="117"/>
      <c r="K395" s="117"/>
      <c r="L395" s="117"/>
      <c r="M395" s="117"/>
      <c r="N395" s="117"/>
      <c r="O395" s="117"/>
      <c r="P395" s="117"/>
      <c r="Q395" s="117"/>
      <c r="R395" s="117"/>
      <c r="S395" s="117"/>
      <c r="T395" s="117"/>
      <c r="U395" s="117"/>
    </row>
    <row r="396" spans="2:21" ht="12.95" customHeight="1">
      <c r="B396" s="524"/>
      <c r="C396" s="117"/>
      <c r="D396" s="117"/>
      <c r="E396" s="117"/>
      <c r="F396" s="117"/>
      <c r="G396" s="117"/>
      <c r="H396" s="117"/>
      <c r="I396" s="117"/>
      <c r="J396" s="117"/>
      <c r="K396" s="117"/>
      <c r="L396" s="117"/>
      <c r="M396" s="117"/>
      <c r="N396" s="117"/>
      <c r="O396" s="117"/>
      <c r="P396" s="117"/>
      <c r="Q396" s="117"/>
      <c r="R396" s="117"/>
      <c r="S396" s="117"/>
      <c r="T396" s="117"/>
      <c r="U396" s="117"/>
    </row>
    <row r="397" spans="2:21" ht="12.95" customHeight="1">
      <c r="B397" s="524"/>
      <c r="C397" s="116"/>
      <c r="D397" s="116"/>
      <c r="E397" s="117"/>
      <c r="F397" s="117"/>
      <c r="G397" s="117"/>
      <c r="H397" s="117"/>
      <c r="I397" s="117"/>
      <c r="J397" s="117"/>
      <c r="K397" s="117"/>
      <c r="L397" s="117"/>
      <c r="M397" s="117"/>
      <c r="N397" s="117"/>
      <c r="O397" s="117"/>
      <c r="P397" s="117"/>
      <c r="Q397" s="117"/>
      <c r="R397" s="117"/>
      <c r="S397" s="117"/>
      <c r="T397" s="117"/>
      <c r="U397" s="117"/>
    </row>
    <row r="398" spans="2:21" ht="12.95" customHeight="1">
      <c r="B398" s="524"/>
      <c r="C398" s="116"/>
      <c r="D398" s="116"/>
      <c r="E398" s="117"/>
      <c r="F398" s="117"/>
      <c r="G398" s="117"/>
      <c r="H398" s="117"/>
      <c r="I398" s="117"/>
      <c r="J398" s="117"/>
      <c r="K398" s="117"/>
      <c r="L398" s="117"/>
      <c r="M398" s="117"/>
      <c r="N398" s="117"/>
      <c r="O398" s="117"/>
      <c r="P398" s="117"/>
      <c r="Q398" s="117"/>
      <c r="R398" s="117"/>
      <c r="S398" s="117"/>
      <c r="T398" s="117"/>
      <c r="U398" s="117"/>
    </row>
    <row r="399" spans="2:21" ht="12.95" customHeight="1">
      <c r="B399" s="524"/>
      <c r="C399" s="117"/>
      <c r="D399" s="117"/>
      <c r="E399" s="117"/>
      <c r="F399" s="117"/>
      <c r="G399" s="117"/>
      <c r="H399" s="117"/>
      <c r="I399" s="117"/>
      <c r="J399" s="117"/>
      <c r="K399" s="117"/>
      <c r="L399" s="117"/>
      <c r="M399" s="117"/>
      <c r="N399" s="117"/>
      <c r="O399" s="117"/>
      <c r="P399" s="117"/>
      <c r="Q399" s="117"/>
      <c r="R399" s="117"/>
      <c r="S399" s="117"/>
      <c r="T399" s="117"/>
      <c r="U399" s="117"/>
    </row>
    <row r="400" spans="2:21" ht="12.95" customHeight="1">
      <c r="B400" s="524"/>
      <c r="C400" s="117"/>
      <c r="D400" s="117"/>
      <c r="E400" s="117"/>
      <c r="F400" s="117"/>
      <c r="G400" s="117"/>
      <c r="H400" s="117"/>
      <c r="I400" s="117"/>
      <c r="J400" s="117"/>
      <c r="K400" s="117"/>
      <c r="L400" s="117"/>
      <c r="M400" s="117"/>
      <c r="N400" s="117"/>
      <c r="O400" s="117"/>
      <c r="P400" s="117"/>
      <c r="Q400" s="117"/>
      <c r="R400" s="117"/>
      <c r="S400" s="117"/>
      <c r="T400" s="117"/>
      <c r="U400" s="117"/>
    </row>
    <row r="401" spans="2:21" ht="12.95" customHeight="1">
      <c r="B401" s="524"/>
      <c r="C401" s="117"/>
      <c r="D401" s="117"/>
      <c r="E401" s="117"/>
      <c r="F401" s="117"/>
      <c r="G401" s="117"/>
      <c r="H401" s="117"/>
      <c r="I401" s="117"/>
      <c r="J401" s="117"/>
      <c r="K401" s="117"/>
      <c r="L401" s="117"/>
      <c r="M401" s="117"/>
      <c r="N401" s="122"/>
      <c r="O401" s="122"/>
      <c r="P401" s="122"/>
      <c r="Q401" s="122"/>
      <c r="R401" s="122"/>
      <c r="S401" s="122"/>
      <c r="T401" s="122"/>
      <c r="U401" s="122"/>
    </row>
    <row r="402" spans="2:21" ht="12.95" customHeight="1">
      <c r="B402" s="524"/>
      <c r="C402" s="117"/>
      <c r="D402" s="117"/>
      <c r="E402" s="117"/>
      <c r="F402" s="117"/>
      <c r="G402" s="117"/>
      <c r="H402" s="117"/>
      <c r="I402" s="117"/>
      <c r="J402" s="117"/>
      <c r="K402" s="117"/>
      <c r="L402" s="117"/>
      <c r="M402" s="117"/>
      <c r="N402" s="122"/>
      <c r="O402" s="122"/>
      <c r="P402" s="122"/>
      <c r="Q402" s="122"/>
      <c r="R402" s="122"/>
      <c r="S402" s="122"/>
      <c r="T402" s="122"/>
      <c r="U402" s="122"/>
    </row>
    <row r="403" spans="2:21" ht="12.95" customHeight="1">
      <c r="B403" s="524"/>
      <c r="C403" s="117"/>
      <c r="D403" s="117"/>
      <c r="E403" s="117"/>
      <c r="F403" s="117"/>
      <c r="G403" s="117"/>
      <c r="H403" s="117"/>
      <c r="I403" s="117"/>
      <c r="J403" s="117"/>
      <c r="K403" s="117"/>
      <c r="L403" s="117"/>
      <c r="M403" s="117"/>
      <c r="N403" s="122"/>
      <c r="O403" s="122"/>
      <c r="P403" s="122"/>
      <c r="Q403" s="122"/>
      <c r="R403" s="122"/>
      <c r="S403" s="122"/>
      <c r="T403" s="122"/>
      <c r="U403" s="122"/>
    </row>
    <row r="404" spans="2:21" ht="12.95" customHeight="1">
      <c r="B404" s="524"/>
      <c r="C404" s="117"/>
      <c r="D404" s="117"/>
      <c r="E404" s="117"/>
      <c r="F404" s="117"/>
      <c r="G404" s="117"/>
      <c r="H404" s="117"/>
      <c r="I404" s="117"/>
      <c r="J404" s="117"/>
      <c r="K404" s="117"/>
      <c r="L404" s="117"/>
      <c r="M404" s="117"/>
      <c r="N404" s="122"/>
      <c r="O404" s="122"/>
      <c r="P404" s="122"/>
      <c r="Q404" s="122"/>
      <c r="R404" s="122"/>
      <c r="S404" s="122"/>
      <c r="T404" s="122"/>
      <c r="U404" s="122"/>
    </row>
    <row r="405" spans="2:21" ht="12.95" customHeight="1">
      <c r="B405" s="524"/>
      <c r="C405" s="117"/>
      <c r="D405" s="117"/>
      <c r="E405" s="120"/>
      <c r="F405" s="122"/>
      <c r="G405" s="122"/>
      <c r="H405" s="122"/>
      <c r="I405" s="117"/>
      <c r="J405" s="117"/>
      <c r="K405" s="117"/>
      <c r="L405" s="117"/>
      <c r="M405" s="117"/>
      <c r="N405" s="122"/>
      <c r="O405" s="122"/>
      <c r="P405" s="122"/>
      <c r="Q405" s="122"/>
      <c r="R405" s="122"/>
      <c r="S405" s="122"/>
      <c r="T405" s="122"/>
      <c r="U405" s="122"/>
    </row>
    <row r="406" spans="2:21" ht="12.95" customHeight="1">
      <c r="B406" s="524"/>
      <c r="C406" s="117"/>
      <c r="D406" s="117"/>
      <c r="E406" s="120"/>
      <c r="F406" s="122"/>
      <c r="G406" s="122"/>
      <c r="H406" s="122"/>
      <c r="I406" s="122"/>
      <c r="J406" s="122"/>
      <c r="K406" s="122"/>
      <c r="L406" s="122"/>
      <c r="M406" s="122"/>
      <c r="N406" s="122"/>
      <c r="O406" s="122"/>
      <c r="P406" s="122"/>
      <c r="Q406" s="122"/>
      <c r="R406" s="122"/>
      <c r="S406" s="122"/>
      <c r="T406" s="122"/>
      <c r="U406" s="122"/>
    </row>
    <row r="407" spans="2:21" ht="12.95" customHeight="1">
      <c r="B407" s="524"/>
      <c r="C407" s="117"/>
      <c r="D407" s="117"/>
      <c r="E407" s="120"/>
      <c r="F407" s="122"/>
      <c r="G407" s="122"/>
      <c r="H407" s="122"/>
      <c r="I407" s="122"/>
      <c r="J407" s="122"/>
      <c r="K407" s="122"/>
      <c r="L407" s="122"/>
      <c r="M407" s="122"/>
      <c r="N407" s="122"/>
      <c r="O407" s="122"/>
      <c r="P407" s="122"/>
      <c r="Q407" s="122"/>
      <c r="R407" s="122"/>
      <c r="S407" s="122"/>
      <c r="T407" s="122"/>
      <c r="U407" s="122"/>
    </row>
    <row r="408" spans="2:21" ht="12.95" customHeight="1">
      <c r="B408" s="524"/>
      <c r="C408" s="119"/>
      <c r="D408" s="119"/>
      <c r="E408" s="120"/>
      <c r="F408" s="122"/>
      <c r="G408" s="122"/>
      <c r="H408" s="122"/>
      <c r="I408" s="122"/>
      <c r="J408" s="122"/>
      <c r="K408" s="122"/>
      <c r="L408" s="122"/>
      <c r="M408" s="122"/>
      <c r="N408" s="117"/>
      <c r="O408" s="117"/>
      <c r="P408" s="117"/>
      <c r="Q408" s="117"/>
      <c r="R408" s="117"/>
      <c r="S408" s="117"/>
      <c r="T408" s="117"/>
      <c r="U408" s="117"/>
    </row>
    <row r="409" spans="2:21" ht="12.95" customHeight="1">
      <c r="B409" s="524"/>
      <c r="C409" s="119"/>
      <c r="D409" s="119"/>
      <c r="E409" s="120"/>
      <c r="F409" s="122"/>
      <c r="G409" s="122"/>
      <c r="H409" s="122"/>
      <c r="I409" s="122"/>
      <c r="J409" s="122"/>
      <c r="K409" s="122"/>
      <c r="L409" s="122"/>
      <c r="M409" s="122"/>
      <c r="N409" s="117"/>
      <c r="O409" s="117"/>
      <c r="P409" s="117"/>
      <c r="Q409" s="117"/>
      <c r="R409" s="117"/>
      <c r="S409" s="117"/>
      <c r="T409" s="117"/>
      <c r="U409" s="117"/>
    </row>
    <row r="410" spans="2:21" ht="12.95" customHeight="1">
      <c r="B410" s="524"/>
      <c r="C410" s="123"/>
      <c r="D410" s="123"/>
      <c r="E410" s="120"/>
      <c r="F410" s="122"/>
      <c r="G410" s="122"/>
      <c r="H410" s="122"/>
      <c r="I410" s="122"/>
      <c r="J410" s="122"/>
      <c r="K410" s="122"/>
      <c r="L410" s="122"/>
      <c r="M410" s="122"/>
      <c r="N410" s="117"/>
      <c r="O410" s="117"/>
      <c r="P410" s="117"/>
      <c r="Q410" s="117"/>
      <c r="R410" s="117"/>
      <c r="S410" s="117"/>
      <c r="T410" s="117"/>
      <c r="U410" s="117"/>
    </row>
    <row r="411" spans="2:21" ht="12.95" customHeight="1">
      <c r="B411" s="524"/>
      <c r="C411" s="123"/>
      <c r="D411" s="123"/>
      <c r="E411" s="120"/>
      <c r="F411" s="122"/>
      <c r="G411" s="122"/>
      <c r="H411" s="122"/>
      <c r="I411" s="122"/>
      <c r="J411" s="122"/>
      <c r="K411" s="122"/>
      <c r="L411" s="122"/>
      <c r="M411" s="122"/>
      <c r="N411" s="117"/>
      <c r="O411" s="117"/>
      <c r="P411" s="117"/>
      <c r="Q411" s="117"/>
      <c r="R411" s="117"/>
      <c r="S411" s="117"/>
      <c r="T411" s="117"/>
      <c r="U411" s="117"/>
    </row>
    <row r="412" spans="2:21" ht="12.95" customHeight="1">
      <c r="B412" s="524"/>
      <c r="C412" s="123"/>
      <c r="D412" s="123"/>
      <c r="E412" s="117"/>
      <c r="F412" s="117"/>
      <c r="G412" s="117"/>
      <c r="H412" s="117"/>
      <c r="I412" s="122"/>
      <c r="J412" s="122"/>
      <c r="K412" s="122"/>
      <c r="L412" s="122"/>
      <c r="M412" s="122"/>
      <c r="N412" s="117"/>
      <c r="O412" s="117"/>
      <c r="P412" s="117"/>
      <c r="Q412" s="117"/>
      <c r="R412" s="117"/>
      <c r="S412" s="117"/>
      <c r="T412" s="117"/>
      <c r="U412" s="117"/>
    </row>
    <row r="413" spans="2:21" ht="12.95" customHeight="1">
      <c r="B413" s="524"/>
      <c r="C413" s="123"/>
      <c r="D413" s="123"/>
      <c r="E413" s="122"/>
      <c r="F413" s="116"/>
      <c r="G413" s="116"/>
      <c r="H413" s="116"/>
      <c r="I413" s="117"/>
      <c r="J413" s="117"/>
      <c r="K413" s="117"/>
      <c r="L413" s="117"/>
      <c r="M413" s="117"/>
      <c r="N413" s="117"/>
      <c r="O413" s="117"/>
      <c r="P413" s="117"/>
      <c r="Q413" s="117"/>
      <c r="R413" s="117"/>
      <c r="S413" s="117"/>
      <c r="T413" s="117"/>
      <c r="U413" s="117"/>
    </row>
    <row r="414" spans="2:21" ht="12.95" customHeight="1">
      <c r="B414" s="524"/>
      <c r="C414" s="123"/>
      <c r="D414" s="123"/>
      <c r="E414" s="122"/>
      <c r="F414" s="117"/>
      <c r="G414" s="117"/>
      <c r="H414" s="117"/>
      <c r="I414" s="117"/>
      <c r="J414" s="117"/>
      <c r="K414" s="117"/>
      <c r="L414" s="117"/>
      <c r="M414" s="117"/>
      <c r="N414" s="117"/>
      <c r="O414" s="117"/>
      <c r="P414" s="117"/>
      <c r="Q414" s="117"/>
      <c r="R414" s="117"/>
      <c r="S414" s="117"/>
      <c r="T414" s="117"/>
      <c r="U414" s="117"/>
    </row>
    <row r="415" spans="2:21" ht="12.95" customHeight="1">
      <c r="B415" s="524"/>
      <c r="C415" s="123"/>
      <c r="D415" s="123"/>
      <c r="E415" s="122"/>
      <c r="F415" s="117"/>
      <c r="G415" s="117"/>
      <c r="H415" s="117"/>
      <c r="I415" s="117"/>
      <c r="J415" s="117"/>
      <c r="K415" s="117"/>
      <c r="L415" s="117"/>
      <c r="M415" s="117"/>
      <c r="N415" s="117"/>
      <c r="O415" s="117"/>
      <c r="P415" s="117"/>
      <c r="Q415" s="117"/>
      <c r="R415" s="117"/>
      <c r="S415" s="117"/>
      <c r="T415" s="117"/>
      <c r="U415" s="117"/>
    </row>
    <row r="416" spans="2:21" ht="12.95" customHeight="1">
      <c r="B416" s="524"/>
      <c r="C416" s="123"/>
      <c r="D416" s="123"/>
      <c r="E416" s="122"/>
      <c r="F416" s="117"/>
      <c r="G416" s="117"/>
      <c r="H416" s="117"/>
      <c r="I416" s="117"/>
      <c r="J416" s="117"/>
      <c r="K416" s="117"/>
      <c r="L416" s="117"/>
      <c r="M416" s="117"/>
      <c r="N416" s="117"/>
      <c r="O416" s="117"/>
      <c r="P416" s="117"/>
      <c r="Q416" s="117"/>
      <c r="R416" s="117"/>
      <c r="S416" s="117"/>
      <c r="T416" s="117"/>
      <c r="U416" s="117"/>
    </row>
    <row r="417" spans="2:21" ht="12.95" customHeight="1">
      <c r="B417" s="524"/>
      <c r="C417" s="117"/>
      <c r="D417" s="117"/>
      <c r="E417" s="122"/>
      <c r="F417" s="117"/>
      <c r="G417" s="117"/>
      <c r="H417" s="117"/>
      <c r="I417" s="117"/>
      <c r="J417" s="117"/>
      <c r="K417" s="117"/>
      <c r="L417" s="117"/>
      <c r="M417" s="117"/>
      <c r="N417" s="117"/>
      <c r="O417" s="117"/>
      <c r="P417" s="117"/>
      <c r="Q417" s="117"/>
      <c r="R417" s="117"/>
      <c r="S417" s="117"/>
      <c r="T417" s="117"/>
      <c r="U417" s="117"/>
    </row>
    <row r="418" spans="2:21" ht="12.95" customHeight="1">
      <c r="B418" s="524"/>
      <c r="C418" s="122"/>
      <c r="D418" s="122"/>
      <c r="E418" s="122"/>
      <c r="F418" s="117"/>
      <c r="G418" s="117"/>
      <c r="H418" s="117"/>
      <c r="I418" s="117"/>
      <c r="J418" s="117"/>
      <c r="K418" s="117"/>
      <c r="L418" s="117"/>
      <c r="M418" s="117"/>
      <c r="N418" s="117"/>
      <c r="O418" s="117"/>
      <c r="P418" s="117"/>
      <c r="Q418" s="117"/>
      <c r="R418" s="117"/>
      <c r="S418" s="117"/>
      <c r="T418" s="117"/>
      <c r="U418" s="117"/>
    </row>
    <row r="419" spans="2:21" ht="12.95" customHeight="1">
      <c r="B419" s="524"/>
      <c r="C419" s="122"/>
      <c r="D419" s="122"/>
      <c r="E419" s="122"/>
      <c r="F419" s="117"/>
      <c r="G419" s="117"/>
      <c r="H419" s="117"/>
      <c r="I419" s="117"/>
      <c r="J419" s="117"/>
      <c r="K419" s="117"/>
      <c r="L419" s="117"/>
      <c r="M419" s="117"/>
      <c r="N419" s="116"/>
      <c r="O419" s="116"/>
      <c r="P419" s="116"/>
      <c r="Q419" s="116"/>
      <c r="R419" s="116"/>
      <c r="S419" s="116"/>
      <c r="T419" s="116"/>
      <c r="U419" s="116"/>
    </row>
    <row r="420" spans="2:21" ht="12.95" customHeight="1">
      <c r="B420" s="524"/>
      <c r="C420" s="122"/>
      <c r="D420" s="122"/>
      <c r="E420" s="122"/>
      <c r="F420" s="117"/>
      <c r="G420" s="117"/>
      <c r="H420" s="117"/>
      <c r="I420" s="117"/>
      <c r="J420" s="117"/>
      <c r="K420" s="117"/>
      <c r="L420" s="117"/>
      <c r="M420" s="117"/>
      <c r="N420" s="116"/>
      <c r="O420" s="116"/>
      <c r="P420" s="116"/>
      <c r="Q420" s="116"/>
      <c r="R420" s="116"/>
      <c r="S420" s="116"/>
      <c r="T420" s="116"/>
      <c r="U420" s="116"/>
    </row>
    <row r="421" spans="2:21" ht="12.95" customHeight="1">
      <c r="B421" s="524"/>
      <c r="C421" s="120"/>
      <c r="D421" s="120"/>
      <c r="E421" s="122"/>
      <c r="F421" s="117"/>
      <c r="G421" s="117"/>
      <c r="H421" s="117"/>
      <c r="I421" s="117"/>
      <c r="J421" s="117"/>
      <c r="K421" s="117"/>
      <c r="L421" s="117"/>
      <c r="M421" s="117"/>
      <c r="N421" s="116"/>
      <c r="O421" s="116"/>
      <c r="P421" s="116"/>
      <c r="Q421" s="116"/>
      <c r="R421" s="116"/>
      <c r="S421" s="116"/>
      <c r="T421" s="116"/>
      <c r="U421" s="116"/>
    </row>
    <row r="422" spans="2:21" ht="12.95" customHeight="1">
      <c r="B422" s="524"/>
      <c r="C422" s="120"/>
      <c r="D422" s="120"/>
      <c r="E422" s="122"/>
      <c r="F422" s="117"/>
      <c r="G422" s="117"/>
      <c r="H422" s="117"/>
      <c r="I422" s="117"/>
      <c r="J422" s="117"/>
      <c r="K422" s="117"/>
      <c r="L422" s="117"/>
      <c r="M422" s="117"/>
      <c r="N422" s="117"/>
      <c r="O422" s="117"/>
      <c r="P422" s="117"/>
      <c r="Q422" s="117"/>
      <c r="R422" s="117"/>
      <c r="S422" s="117"/>
      <c r="T422" s="117"/>
      <c r="U422" s="117"/>
    </row>
    <row r="423" spans="2:21" ht="12.95" customHeight="1">
      <c r="B423" s="524"/>
      <c r="C423" s="120"/>
      <c r="D423" s="120"/>
      <c r="E423" s="117"/>
      <c r="F423" s="116"/>
      <c r="G423" s="116"/>
      <c r="H423" s="116"/>
      <c r="I423" s="117"/>
      <c r="J423" s="117"/>
      <c r="K423" s="117"/>
      <c r="L423" s="117"/>
      <c r="M423" s="117"/>
      <c r="N423" s="117"/>
      <c r="O423" s="117"/>
      <c r="P423" s="117"/>
      <c r="Q423" s="117"/>
      <c r="R423" s="117"/>
      <c r="S423" s="117"/>
      <c r="T423" s="117"/>
      <c r="U423" s="117"/>
    </row>
    <row r="424" spans="2:21" ht="12.95" customHeight="1">
      <c r="B424" s="524"/>
      <c r="C424" s="120"/>
      <c r="D424" s="120"/>
      <c r="E424" s="117"/>
      <c r="F424" s="116"/>
      <c r="G424" s="116"/>
      <c r="H424" s="116"/>
      <c r="I424" s="116"/>
      <c r="J424" s="116"/>
      <c r="K424" s="116"/>
      <c r="L424" s="116"/>
      <c r="M424" s="116"/>
      <c r="N424" s="122"/>
      <c r="O424" s="122"/>
      <c r="P424" s="122"/>
      <c r="Q424" s="122"/>
      <c r="R424" s="122"/>
      <c r="S424" s="122"/>
      <c r="T424" s="122"/>
      <c r="U424" s="122"/>
    </row>
    <row r="425" spans="2:21" ht="12.95" customHeight="1">
      <c r="B425" s="524"/>
      <c r="C425" s="120"/>
      <c r="D425" s="120"/>
      <c r="E425" s="117"/>
      <c r="F425" s="116"/>
      <c r="G425" s="116"/>
      <c r="H425" s="116"/>
      <c r="I425" s="116"/>
      <c r="J425" s="116"/>
      <c r="K425" s="116"/>
      <c r="L425" s="116"/>
      <c r="M425" s="116"/>
      <c r="N425" s="122"/>
      <c r="O425" s="122"/>
      <c r="P425" s="122"/>
      <c r="Q425" s="122"/>
      <c r="R425" s="122"/>
      <c r="S425" s="122"/>
      <c r="T425" s="122"/>
      <c r="U425" s="122"/>
    </row>
    <row r="426" spans="2:21" ht="12.95" customHeight="1">
      <c r="B426" s="524"/>
      <c r="C426" s="120"/>
      <c r="D426" s="120"/>
      <c r="E426" s="117"/>
      <c r="F426" s="116"/>
      <c r="G426" s="116"/>
      <c r="H426" s="116"/>
      <c r="I426" s="116"/>
      <c r="J426" s="116"/>
      <c r="K426" s="116"/>
      <c r="L426" s="116"/>
      <c r="M426" s="116"/>
      <c r="N426" s="122"/>
      <c r="O426" s="122"/>
      <c r="P426" s="122"/>
      <c r="Q426" s="122"/>
      <c r="R426" s="122"/>
      <c r="S426" s="122"/>
      <c r="T426" s="122"/>
      <c r="U426" s="122"/>
    </row>
    <row r="427" spans="2:21" ht="12.95" customHeight="1">
      <c r="B427" s="524"/>
      <c r="C427" s="120"/>
      <c r="D427" s="120"/>
      <c r="E427" s="117"/>
      <c r="F427" s="116"/>
      <c r="G427" s="116"/>
      <c r="H427" s="116"/>
      <c r="I427" s="117"/>
      <c r="J427" s="117"/>
      <c r="K427" s="117"/>
      <c r="L427" s="117"/>
      <c r="M427" s="117"/>
      <c r="N427" s="122"/>
      <c r="O427" s="122"/>
      <c r="P427" s="122"/>
      <c r="Q427" s="122"/>
      <c r="R427" s="122"/>
      <c r="S427" s="122"/>
      <c r="T427" s="122"/>
      <c r="U427" s="122"/>
    </row>
    <row r="428" spans="2:21" ht="12.95" customHeight="1">
      <c r="B428" s="524"/>
      <c r="C428" s="116"/>
      <c r="D428" s="116"/>
      <c r="E428" s="117"/>
      <c r="F428" s="124"/>
      <c r="G428" s="124"/>
      <c r="H428" s="124"/>
      <c r="I428" s="117"/>
      <c r="J428" s="117"/>
      <c r="K428" s="117"/>
      <c r="L428" s="117"/>
      <c r="M428" s="117"/>
      <c r="N428" s="122"/>
      <c r="O428" s="122"/>
      <c r="P428" s="122"/>
      <c r="Q428" s="122"/>
      <c r="R428" s="122"/>
      <c r="S428" s="122"/>
      <c r="T428" s="122"/>
      <c r="U428" s="122"/>
    </row>
    <row r="429" spans="2:21" ht="12.95" customHeight="1">
      <c r="B429" s="524"/>
      <c r="C429" s="116"/>
      <c r="D429" s="116"/>
      <c r="E429" s="117"/>
      <c r="F429" s="124"/>
      <c r="G429" s="124"/>
      <c r="H429" s="124"/>
      <c r="I429" s="122"/>
      <c r="J429" s="122"/>
      <c r="K429" s="122"/>
      <c r="L429" s="122"/>
      <c r="M429" s="122"/>
      <c r="N429" s="122"/>
      <c r="O429" s="122"/>
      <c r="P429" s="122"/>
      <c r="Q429" s="122"/>
      <c r="R429" s="122"/>
      <c r="S429" s="122"/>
      <c r="T429" s="122"/>
      <c r="U429" s="122"/>
    </row>
    <row r="430" spans="2:21" ht="12.95" customHeight="1">
      <c r="B430" s="524"/>
      <c r="C430" s="116"/>
      <c r="D430" s="116"/>
      <c r="E430" s="117"/>
      <c r="F430" s="124"/>
      <c r="G430" s="124"/>
      <c r="H430" s="124"/>
      <c r="I430" s="122"/>
      <c r="J430" s="122"/>
      <c r="K430" s="122"/>
      <c r="L430" s="122"/>
      <c r="M430" s="122"/>
      <c r="N430" s="122"/>
      <c r="O430" s="122"/>
      <c r="P430" s="122"/>
      <c r="Q430" s="122"/>
      <c r="R430" s="122"/>
      <c r="S430" s="122"/>
      <c r="T430" s="122"/>
      <c r="U430" s="122"/>
    </row>
    <row r="431" spans="2:21" ht="12.95" customHeight="1">
      <c r="B431" s="524"/>
      <c r="C431" s="119"/>
      <c r="D431" s="119"/>
      <c r="E431" s="117"/>
      <c r="F431" s="124"/>
      <c r="G431" s="124"/>
      <c r="H431" s="124"/>
      <c r="I431" s="122"/>
      <c r="J431" s="122"/>
      <c r="K431" s="122"/>
      <c r="L431" s="122"/>
      <c r="M431" s="122"/>
      <c r="N431" s="122"/>
      <c r="O431" s="122"/>
      <c r="P431" s="122"/>
      <c r="Q431" s="122"/>
      <c r="R431" s="122"/>
      <c r="S431" s="122"/>
      <c r="T431" s="122"/>
      <c r="U431" s="122"/>
    </row>
    <row r="432" spans="2:21" ht="12.95" customHeight="1">
      <c r="B432" s="524"/>
      <c r="C432" s="119"/>
      <c r="D432" s="119"/>
      <c r="E432" s="117"/>
      <c r="F432" s="124"/>
      <c r="G432" s="124"/>
      <c r="H432" s="124"/>
      <c r="I432" s="122"/>
      <c r="J432" s="122"/>
      <c r="K432" s="122"/>
      <c r="L432" s="122"/>
      <c r="M432" s="122"/>
      <c r="N432" s="122"/>
      <c r="O432" s="122"/>
      <c r="P432" s="122"/>
      <c r="Q432" s="122"/>
      <c r="R432" s="122"/>
      <c r="S432" s="122"/>
      <c r="T432" s="122"/>
      <c r="U432" s="122"/>
    </row>
    <row r="433" spans="2:21" ht="12.95" customHeight="1">
      <c r="B433" s="524"/>
      <c r="C433" s="116"/>
      <c r="D433" s="116"/>
      <c r="E433" s="117"/>
      <c r="F433" s="124"/>
      <c r="G433" s="124"/>
      <c r="H433" s="124"/>
      <c r="I433" s="122"/>
      <c r="J433" s="122"/>
      <c r="K433" s="122"/>
      <c r="L433" s="122"/>
      <c r="M433" s="122"/>
      <c r="N433" s="122"/>
      <c r="O433" s="122"/>
      <c r="P433" s="122"/>
      <c r="Q433" s="122"/>
      <c r="R433" s="122"/>
      <c r="S433" s="122"/>
      <c r="T433" s="122"/>
      <c r="U433" s="122"/>
    </row>
    <row r="434" spans="2:21" ht="12.95" customHeight="1">
      <c r="B434" s="524"/>
      <c r="C434" s="116"/>
      <c r="D434" s="116"/>
      <c r="E434" s="117"/>
      <c r="F434" s="124"/>
      <c r="G434" s="124"/>
      <c r="H434" s="124"/>
      <c r="I434" s="122"/>
      <c r="J434" s="122"/>
      <c r="K434" s="122"/>
      <c r="L434" s="122"/>
      <c r="M434" s="122"/>
      <c r="N434" s="122"/>
      <c r="O434" s="122"/>
      <c r="P434" s="122"/>
      <c r="Q434" s="122"/>
      <c r="R434" s="122"/>
      <c r="S434" s="122"/>
      <c r="T434" s="122"/>
      <c r="U434" s="122"/>
    </row>
    <row r="435" spans="2:21" ht="12.95" customHeight="1">
      <c r="B435" s="524"/>
      <c r="C435" s="116"/>
      <c r="D435" s="116"/>
      <c r="E435" s="117"/>
      <c r="F435" s="124"/>
      <c r="G435" s="124"/>
      <c r="H435" s="124"/>
      <c r="I435" s="122"/>
      <c r="J435" s="122"/>
      <c r="K435" s="122"/>
      <c r="L435" s="122"/>
      <c r="M435" s="122"/>
      <c r="N435" s="122"/>
      <c r="O435" s="122"/>
      <c r="P435" s="122"/>
      <c r="Q435" s="122"/>
      <c r="R435" s="122"/>
      <c r="S435" s="122"/>
      <c r="T435" s="122"/>
      <c r="U435" s="122"/>
    </row>
    <row r="436" spans="2:21" ht="12.95" customHeight="1">
      <c r="B436" s="524"/>
      <c r="C436" s="116"/>
      <c r="D436" s="116"/>
      <c r="E436" s="117"/>
      <c r="F436" s="124"/>
      <c r="G436" s="124"/>
      <c r="H436" s="124"/>
      <c r="I436" s="122"/>
      <c r="J436" s="122"/>
      <c r="K436" s="122"/>
      <c r="L436" s="122"/>
      <c r="M436" s="122"/>
      <c r="N436" s="122"/>
      <c r="O436" s="122"/>
      <c r="P436" s="122"/>
      <c r="Q436" s="122"/>
      <c r="R436" s="122"/>
      <c r="S436" s="122"/>
      <c r="T436" s="122"/>
      <c r="U436" s="122"/>
    </row>
    <row r="437" spans="2:21" ht="12.95" customHeight="1">
      <c r="B437" s="524"/>
      <c r="C437" s="116"/>
      <c r="D437" s="116"/>
      <c r="E437" s="117"/>
      <c r="F437" s="124"/>
      <c r="G437" s="124"/>
      <c r="H437" s="124"/>
      <c r="I437" s="122"/>
      <c r="J437" s="122"/>
      <c r="K437" s="122"/>
      <c r="L437" s="122"/>
      <c r="M437" s="122"/>
      <c r="N437" s="122"/>
      <c r="O437" s="122"/>
      <c r="P437" s="122"/>
      <c r="Q437" s="122"/>
      <c r="R437" s="122"/>
      <c r="S437" s="122"/>
      <c r="T437" s="122"/>
      <c r="U437" s="122"/>
    </row>
    <row r="438" spans="2:21" ht="12.95" customHeight="1">
      <c r="B438" s="524"/>
      <c r="C438" s="116"/>
      <c r="D438" s="116"/>
      <c r="E438" s="117"/>
      <c r="F438" s="124"/>
      <c r="G438" s="124"/>
      <c r="H438" s="124"/>
      <c r="I438" s="122"/>
      <c r="J438" s="122"/>
      <c r="K438" s="122"/>
      <c r="L438" s="122"/>
      <c r="M438" s="122"/>
      <c r="N438" s="122"/>
      <c r="O438" s="122"/>
      <c r="P438" s="122"/>
      <c r="Q438" s="122"/>
      <c r="R438" s="122"/>
      <c r="S438" s="122"/>
      <c r="T438" s="122"/>
      <c r="U438" s="122"/>
    </row>
    <row r="439" spans="2:21" ht="12.95" customHeight="1">
      <c r="B439" s="524"/>
      <c r="C439" s="116"/>
      <c r="D439" s="116"/>
      <c r="E439" s="117"/>
      <c r="F439" s="124"/>
      <c r="G439" s="124"/>
      <c r="H439" s="124"/>
      <c r="I439" s="122"/>
      <c r="J439" s="122"/>
      <c r="K439" s="122"/>
      <c r="L439" s="122"/>
      <c r="M439" s="122"/>
      <c r="N439" s="122"/>
      <c r="O439" s="122"/>
      <c r="P439" s="122"/>
      <c r="Q439" s="122"/>
      <c r="R439" s="122"/>
      <c r="S439" s="122"/>
      <c r="T439" s="122"/>
      <c r="U439" s="122"/>
    </row>
    <row r="440" spans="2:21" ht="12.95" customHeight="1">
      <c r="B440" s="524"/>
      <c r="C440" s="116"/>
      <c r="D440" s="116"/>
      <c r="E440" s="117"/>
      <c r="F440" s="124"/>
      <c r="G440" s="124"/>
      <c r="H440" s="124"/>
      <c r="I440" s="122"/>
      <c r="J440" s="122"/>
      <c r="K440" s="122"/>
      <c r="L440" s="122"/>
      <c r="M440" s="122"/>
      <c r="N440" s="120"/>
      <c r="O440" s="120"/>
      <c r="P440" s="120"/>
      <c r="Q440" s="120"/>
      <c r="R440" s="120"/>
      <c r="S440" s="120"/>
      <c r="T440" s="120"/>
      <c r="U440" s="120"/>
    </row>
    <row r="441" spans="2:21" ht="12.95" customHeight="1">
      <c r="B441" s="524"/>
      <c r="C441" s="116"/>
      <c r="D441" s="116"/>
      <c r="E441" s="117"/>
      <c r="F441" s="124"/>
      <c r="G441" s="124"/>
      <c r="H441" s="124"/>
      <c r="I441" s="122"/>
      <c r="J441" s="122"/>
      <c r="K441" s="122"/>
      <c r="L441" s="122"/>
      <c r="M441" s="122"/>
      <c r="N441" s="120"/>
      <c r="O441" s="120"/>
      <c r="P441" s="120"/>
      <c r="Q441" s="120"/>
      <c r="R441" s="120"/>
      <c r="S441" s="120"/>
      <c r="T441" s="120"/>
      <c r="U441" s="120"/>
    </row>
    <row r="442" spans="2:21" ht="12.95" customHeight="1">
      <c r="B442" s="524"/>
      <c r="C442" s="116"/>
      <c r="D442" s="116"/>
      <c r="E442" s="125"/>
      <c r="F442" s="119"/>
      <c r="G442" s="119"/>
      <c r="H442" s="119"/>
      <c r="I442" s="122"/>
      <c r="J442" s="122"/>
      <c r="K442" s="122"/>
      <c r="L442" s="122"/>
      <c r="M442" s="122"/>
      <c r="N442" s="120"/>
      <c r="O442" s="120"/>
      <c r="P442" s="120"/>
      <c r="Q442" s="120"/>
      <c r="R442" s="120"/>
      <c r="S442" s="120"/>
      <c r="T442" s="120"/>
      <c r="U442" s="120"/>
    </row>
    <row r="443" spans="2:21" ht="12.95" customHeight="1">
      <c r="B443" s="524"/>
      <c r="C443" s="116"/>
      <c r="D443" s="116"/>
      <c r="E443" s="125"/>
      <c r="F443" s="119"/>
      <c r="G443" s="119"/>
      <c r="H443" s="119"/>
      <c r="I443" s="122"/>
      <c r="J443" s="122"/>
      <c r="K443" s="122"/>
      <c r="L443" s="122"/>
      <c r="M443" s="122"/>
      <c r="N443" s="120"/>
      <c r="O443" s="120"/>
      <c r="P443" s="120"/>
      <c r="Q443" s="120"/>
      <c r="R443" s="120"/>
      <c r="S443" s="120"/>
      <c r="T443" s="120"/>
      <c r="U443" s="120"/>
    </row>
    <row r="444" spans="2:21" ht="12.95" customHeight="1">
      <c r="B444" s="524"/>
      <c r="C444" s="116"/>
      <c r="D444" s="116"/>
      <c r="E444" s="117"/>
      <c r="F444" s="124"/>
      <c r="G444" s="124"/>
      <c r="H444" s="124"/>
      <c r="I444" s="122"/>
      <c r="J444" s="122"/>
      <c r="K444" s="122"/>
      <c r="L444" s="122"/>
      <c r="M444" s="122"/>
      <c r="N444" s="120"/>
      <c r="O444" s="120"/>
      <c r="P444" s="120"/>
      <c r="Q444" s="120"/>
      <c r="R444" s="120"/>
      <c r="S444" s="120"/>
      <c r="T444" s="120"/>
      <c r="U444" s="120"/>
    </row>
    <row r="445" spans="2:21" ht="12.95" customHeight="1">
      <c r="B445" s="524"/>
      <c r="C445" s="116"/>
      <c r="D445" s="116"/>
      <c r="E445" s="117"/>
      <c r="F445" s="124"/>
      <c r="G445" s="124"/>
      <c r="H445" s="124"/>
      <c r="I445" s="120"/>
      <c r="J445" s="120"/>
      <c r="K445" s="120"/>
      <c r="L445" s="120"/>
      <c r="M445" s="120"/>
      <c r="N445" s="120"/>
      <c r="O445" s="120"/>
      <c r="P445" s="120"/>
      <c r="Q445" s="120"/>
      <c r="R445" s="120"/>
      <c r="S445" s="120"/>
      <c r="T445" s="120"/>
      <c r="U445" s="120"/>
    </row>
    <row r="446" spans="2:21" ht="12.95" customHeight="1">
      <c r="B446" s="524"/>
      <c r="C446" s="116"/>
      <c r="D446" s="116"/>
      <c r="E446" s="117"/>
      <c r="F446" s="124"/>
      <c r="G446" s="124"/>
      <c r="H446" s="124"/>
      <c r="I446" s="120"/>
      <c r="J446" s="120"/>
      <c r="K446" s="120"/>
      <c r="L446" s="120"/>
      <c r="M446" s="120"/>
      <c r="N446" s="120"/>
      <c r="O446" s="120"/>
      <c r="P446" s="120"/>
      <c r="Q446" s="120"/>
      <c r="R446" s="120"/>
      <c r="S446" s="120"/>
      <c r="T446" s="120"/>
      <c r="U446" s="120"/>
    </row>
    <row r="447" spans="2:21" ht="12.95" customHeight="1">
      <c r="B447" s="525"/>
      <c r="C447" s="125"/>
      <c r="D447" s="125"/>
      <c r="E447" s="117"/>
      <c r="F447" s="124"/>
      <c r="G447" s="124"/>
      <c r="H447" s="124"/>
      <c r="I447" s="120"/>
      <c r="J447" s="120"/>
      <c r="K447" s="120"/>
      <c r="L447" s="120"/>
      <c r="M447" s="120"/>
      <c r="N447" s="120"/>
      <c r="O447" s="120"/>
      <c r="P447" s="120"/>
      <c r="Q447" s="120"/>
      <c r="R447" s="120"/>
      <c r="S447" s="120"/>
      <c r="T447" s="120"/>
      <c r="U447" s="120"/>
    </row>
    <row r="448" spans="2:21" ht="12.95" customHeight="1">
      <c r="B448" s="525"/>
      <c r="C448" s="125"/>
      <c r="D448" s="125"/>
      <c r="E448" s="125"/>
      <c r="F448" s="119"/>
      <c r="G448" s="119"/>
      <c r="H448" s="119"/>
      <c r="I448" s="120"/>
      <c r="J448" s="120"/>
      <c r="K448" s="120"/>
      <c r="L448" s="120"/>
      <c r="M448" s="120"/>
      <c r="N448" s="120"/>
      <c r="O448" s="120"/>
      <c r="P448" s="120"/>
      <c r="Q448" s="120"/>
      <c r="R448" s="120"/>
      <c r="S448" s="120"/>
      <c r="T448" s="120"/>
      <c r="U448" s="120"/>
    </row>
    <row r="449" spans="2:21" ht="12.95" customHeight="1">
      <c r="B449" s="524"/>
      <c r="C449" s="116"/>
      <c r="D449" s="116"/>
      <c r="E449" s="125"/>
      <c r="F449" s="119"/>
      <c r="G449" s="119"/>
      <c r="H449" s="119"/>
      <c r="I449" s="120"/>
      <c r="J449" s="120"/>
      <c r="K449" s="120"/>
      <c r="L449" s="120"/>
      <c r="M449" s="120"/>
      <c r="N449" s="120"/>
      <c r="O449" s="120"/>
      <c r="P449" s="120"/>
      <c r="Q449" s="120"/>
      <c r="R449" s="120"/>
      <c r="S449" s="120"/>
      <c r="T449" s="120"/>
      <c r="U449" s="120"/>
    </row>
    <row r="450" spans="2:21" ht="12.95" customHeight="1">
      <c r="B450" s="524"/>
      <c r="C450" s="117"/>
      <c r="D450" s="117"/>
      <c r="E450" s="117"/>
      <c r="F450" s="124"/>
      <c r="G450" s="124"/>
      <c r="H450" s="124"/>
      <c r="I450" s="120"/>
      <c r="J450" s="120"/>
      <c r="K450" s="120"/>
      <c r="L450" s="120"/>
      <c r="M450" s="120"/>
      <c r="N450" s="120"/>
      <c r="O450" s="120"/>
      <c r="P450" s="120"/>
      <c r="Q450" s="120"/>
      <c r="R450" s="120"/>
      <c r="S450" s="120"/>
      <c r="T450" s="120"/>
      <c r="U450" s="120"/>
    </row>
    <row r="451" spans="2:21" ht="12.95" customHeight="1">
      <c r="B451" s="524"/>
      <c r="C451" s="117"/>
      <c r="D451" s="117"/>
      <c r="E451" s="117"/>
      <c r="F451" s="124"/>
      <c r="G451" s="124"/>
      <c r="H451" s="124"/>
      <c r="I451" s="120"/>
      <c r="J451" s="120"/>
      <c r="K451" s="120"/>
      <c r="L451" s="120"/>
      <c r="M451" s="120"/>
      <c r="N451" s="120"/>
      <c r="O451" s="120"/>
      <c r="P451" s="120"/>
      <c r="Q451" s="120"/>
      <c r="R451" s="120"/>
      <c r="S451" s="120"/>
      <c r="T451" s="120"/>
      <c r="U451" s="120"/>
    </row>
    <row r="452" spans="2:21" ht="12.95" customHeight="1">
      <c r="B452" s="524"/>
      <c r="C452" s="121"/>
      <c r="D452" s="121"/>
      <c r="E452" s="117"/>
      <c r="F452" s="124"/>
      <c r="G452" s="124"/>
      <c r="H452" s="124"/>
      <c r="I452" s="120"/>
      <c r="J452" s="120"/>
      <c r="K452" s="120"/>
      <c r="L452" s="120"/>
      <c r="M452" s="120"/>
      <c r="N452" s="116"/>
      <c r="O452" s="116"/>
      <c r="P452" s="116"/>
      <c r="Q452" s="116"/>
      <c r="R452" s="116"/>
      <c r="S452" s="116"/>
      <c r="T452" s="116"/>
      <c r="U452" s="116"/>
    </row>
    <row r="453" spans="2:21" ht="12.95" customHeight="1">
      <c r="B453" s="525"/>
      <c r="C453" s="125"/>
      <c r="D453" s="125"/>
      <c r="E453" s="117"/>
      <c r="F453" s="124"/>
      <c r="G453" s="124"/>
      <c r="H453" s="124"/>
      <c r="I453" s="120"/>
      <c r="J453" s="120"/>
      <c r="K453" s="120"/>
      <c r="L453" s="120"/>
      <c r="M453" s="120"/>
      <c r="N453" s="116"/>
      <c r="O453" s="116"/>
      <c r="P453" s="116"/>
      <c r="Q453" s="116"/>
      <c r="R453" s="116"/>
      <c r="S453" s="116"/>
      <c r="T453" s="116"/>
      <c r="U453" s="116"/>
    </row>
    <row r="454" spans="2:21" ht="12.95" customHeight="1">
      <c r="B454" s="525"/>
      <c r="C454" s="125"/>
      <c r="D454" s="125"/>
      <c r="E454" s="117"/>
      <c r="F454" s="124"/>
      <c r="G454" s="124"/>
      <c r="H454" s="124"/>
      <c r="I454" s="120"/>
      <c r="J454" s="120"/>
      <c r="K454" s="120"/>
      <c r="L454" s="120"/>
      <c r="M454" s="120"/>
      <c r="N454" s="119"/>
      <c r="O454" s="119"/>
      <c r="P454" s="119"/>
      <c r="Q454" s="119"/>
      <c r="R454" s="119"/>
      <c r="S454" s="119"/>
      <c r="T454" s="119"/>
      <c r="U454" s="119"/>
    </row>
    <row r="455" spans="2:21" ht="12.95" customHeight="1">
      <c r="B455" s="524"/>
      <c r="C455" s="116"/>
      <c r="D455" s="116"/>
      <c r="E455" s="117"/>
      <c r="F455" s="124"/>
      <c r="G455" s="124"/>
      <c r="H455" s="124"/>
      <c r="I455" s="120"/>
      <c r="J455" s="120"/>
      <c r="K455" s="120"/>
      <c r="L455" s="120"/>
      <c r="M455" s="120"/>
      <c r="N455" s="118"/>
      <c r="O455" s="118"/>
      <c r="P455" s="118"/>
      <c r="Q455" s="118"/>
      <c r="R455" s="118"/>
      <c r="S455" s="118"/>
      <c r="T455" s="118"/>
      <c r="U455" s="118"/>
    </row>
    <row r="456" spans="2:21" ht="12.95" customHeight="1">
      <c r="B456" s="524"/>
      <c r="C456" s="116"/>
      <c r="D456" s="116"/>
      <c r="E456" s="117"/>
      <c r="F456" s="116"/>
      <c r="G456" s="116"/>
      <c r="H456" s="116"/>
      <c r="I456" s="120"/>
      <c r="J456" s="120"/>
      <c r="K456" s="120"/>
      <c r="L456" s="120"/>
      <c r="M456" s="120"/>
      <c r="N456" s="117"/>
      <c r="O456" s="117"/>
      <c r="P456" s="117"/>
      <c r="Q456" s="117"/>
      <c r="R456" s="117"/>
      <c r="S456" s="117"/>
      <c r="T456" s="117"/>
      <c r="U456" s="117"/>
    </row>
    <row r="457" spans="2:21" ht="12.95" customHeight="1">
      <c r="B457" s="524"/>
      <c r="C457" s="116"/>
      <c r="D457" s="116"/>
      <c r="E457" s="117"/>
      <c r="F457" s="116"/>
      <c r="G457" s="116"/>
      <c r="H457" s="116"/>
      <c r="I457" s="116"/>
      <c r="J457" s="116"/>
      <c r="K457" s="116"/>
      <c r="L457" s="116"/>
      <c r="M457" s="116"/>
      <c r="N457" s="120"/>
      <c r="O457" s="120"/>
      <c r="P457" s="120"/>
      <c r="Q457" s="120"/>
      <c r="R457" s="120"/>
      <c r="S457" s="120"/>
      <c r="T457" s="120"/>
      <c r="U457" s="120"/>
    </row>
    <row r="458" spans="2:21" ht="12.95" customHeight="1">
      <c r="B458" s="524"/>
      <c r="C458" s="116"/>
      <c r="D458" s="116"/>
      <c r="E458" s="116"/>
      <c r="F458" s="118"/>
      <c r="G458" s="118"/>
      <c r="H458" s="118"/>
      <c r="I458" s="116"/>
      <c r="J458" s="116"/>
      <c r="K458" s="116"/>
      <c r="L458" s="116"/>
      <c r="M458" s="116"/>
      <c r="N458" s="120"/>
      <c r="O458" s="120"/>
      <c r="P458" s="120"/>
      <c r="Q458" s="120"/>
      <c r="R458" s="120"/>
      <c r="S458" s="120"/>
      <c r="T458" s="120"/>
      <c r="U458" s="120"/>
    </row>
    <row r="459" spans="2:21" ht="12.95" customHeight="1">
      <c r="B459" s="524"/>
      <c r="C459" s="116"/>
      <c r="D459" s="116"/>
      <c r="E459" s="116"/>
      <c r="F459" s="116"/>
      <c r="G459" s="116"/>
      <c r="H459" s="116"/>
      <c r="I459" s="119"/>
      <c r="J459" s="119"/>
      <c r="K459" s="119"/>
      <c r="L459" s="119"/>
      <c r="M459" s="119"/>
      <c r="N459" s="119"/>
      <c r="O459" s="119"/>
      <c r="P459" s="119"/>
      <c r="Q459" s="119"/>
      <c r="R459" s="119"/>
      <c r="S459" s="119"/>
      <c r="T459" s="119"/>
      <c r="U459" s="119"/>
    </row>
    <row r="460" spans="2:21" ht="12.95" customHeight="1">
      <c r="B460" s="524"/>
      <c r="C460" s="116"/>
      <c r="D460" s="116"/>
      <c r="E460" s="116"/>
      <c r="F460" s="117"/>
      <c r="G460" s="117"/>
      <c r="H460" s="117"/>
      <c r="I460" s="118"/>
      <c r="J460" s="118"/>
      <c r="K460" s="118"/>
      <c r="L460" s="118"/>
      <c r="M460" s="118"/>
      <c r="N460" s="116"/>
      <c r="O460" s="116"/>
      <c r="P460" s="116"/>
      <c r="Q460" s="116"/>
      <c r="R460" s="116"/>
      <c r="S460" s="116"/>
      <c r="T460" s="116"/>
      <c r="U460" s="116"/>
    </row>
    <row r="461" spans="2:21" ht="12.95" customHeight="1">
      <c r="B461" s="524"/>
      <c r="C461" s="116"/>
      <c r="D461" s="116"/>
      <c r="E461" s="116"/>
      <c r="F461" s="117"/>
      <c r="G461" s="117"/>
      <c r="H461" s="117"/>
      <c r="I461" s="117"/>
      <c r="J461" s="117"/>
      <c r="K461" s="117"/>
      <c r="L461" s="117"/>
      <c r="M461" s="117"/>
      <c r="N461" s="126"/>
      <c r="O461" s="126"/>
      <c r="P461" s="126"/>
      <c r="Q461" s="126"/>
      <c r="R461" s="126"/>
      <c r="S461" s="126"/>
      <c r="T461" s="126"/>
      <c r="U461" s="126"/>
    </row>
    <row r="462" spans="2:21" ht="12.95" customHeight="1">
      <c r="B462" s="524"/>
      <c r="C462" s="116"/>
      <c r="D462" s="116"/>
      <c r="E462" s="116"/>
      <c r="F462" s="117"/>
      <c r="G462" s="117"/>
      <c r="H462" s="117"/>
      <c r="I462" s="120"/>
      <c r="J462" s="120"/>
      <c r="K462" s="120"/>
      <c r="L462" s="120"/>
      <c r="M462" s="120"/>
      <c r="N462" s="126"/>
      <c r="O462" s="126"/>
      <c r="P462" s="126"/>
      <c r="Q462" s="126"/>
      <c r="R462" s="126"/>
      <c r="S462" s="126"/>
      <c r="T462" s="126"/>
      <c r="U462" s="126"/>
    </row>
    <row r="463" spans="2:21" ht="12.95" customHeight="1">
      <c r="B463" s="524"/>
      <c r="C463" s="116"/>
      <c r="D463" s="116"/>
      <c r="E463" s="116"/>
      <c r="F463" s="116"/>
      <c r="G463" s="116"/>
      <c r="H463" s="116"/>
      <c r="I463" s="120"/>
      <c r="J463" s="120"/>
      <c r="K463" s="120"/>
      <c r="L463" s="120"/>
      <c r="M463" s="120"/>
      <c r="N463" s="116"/>
      <c r="O463" s="116"/>
      <c r="P463" s="116"/>
      <c r="Q463" s="116"/>
      <c r="R463" s="116"/>
      <c r="S463" s="116"/>
      <c r="T463" s="116"/>
      <c r="U463" s="116"/>
    </row>
    <row r="464" spans="2:21" ht="12.95" customHeight="1">
      <c r="B464" s="524"/>
      <c r="C464" s="116"/>
      <c r="D464" s="116"/>
      <c r="E464" s="116"/>
      <c r="F464" s="116"/>
      <c r="G464" s="116"/>
      <c r="H464" s="116"/>
      <c r="I464" s="119"/>
      <c r="J464" s="119"/>
      <c r="K464" s="119"/>
      <c r="L464" s="119"/>
      <c r="M464" s="119"/>
      <c r="N464" s="116"/>
      <c r="O464" s="116"/>
      <c r="P464" s="116"/>
      <c r="Q464" s="116"/>
      <c r="R464" s="116"/>
      <c r="S464" s="116"/>
      <c r="T464" s="116"/>
      <c r="U464" s="116"/>
    </row>
    <row r="465" spans="2:21" ht="12.95" customHeight="1">
      <c r="B465" s="524"/>
      <c r="C465" s="116"/>
      <c r="D465" s="116"/>
      <c r="E465" s="116"/>
      <c r="F465" s="126"/>
      <c r="G465" s="126"/>
      <c r="H465" s="126"/>
      <c r="I465" s="116"/>
      <c r="J465" s="116"/>
      <c r="K465" s="116"/>
      <c r="L465" s="116"/>
      <c r="M465" s="116"/>
      <c r="N465" s="116"/>
      <c r="O465" s="116"/>
      <c r="P465" s="116"/>
      <c r="Q465" s="116"/>
      <c r="R465" s="116"/>
      <c r="S465" s="116"/>
      <c r="T465" s="116"/>
      <c r="U465" s="116"/>
    </row>
    <row r="466" spans="2:21" ht="12.95" customHeight="1">
      <c r="B466" s="524"/>
      <c r="C466" s="116"/>
      <c r="D466" s="116"/>
      <c r="E466" s="116"/>
      <c r="F466" s="126"/>
      <c r="G466" s="126"/>
      <c r="H466" s="126"/>
      <c r="I466" s="126"/>
      <c r="J466" s="126"/>
      <c r="K466" s="126"/>
      <c r="L466" s="126"/>
      <c r="M466" s="126"/>
      <c r="N466" s="126"/>
      <c r="O466" s="126"/>
      <c r="P466" s="126"/>
      <c r="Q466" s="126"/>
      <c r="R466" s="126"/>
      <c r="S466" s="126"/>
      <c r="T466" s="126"/>
      <c r="U466" s="126"/>
    </row>
    <row r="467" spans="2:21" ht="12.95" customHeight="1">
      <c r="B467" s="524"/>
      <c r="C467" s="116"/>
      <c r="D467" s="116"/>
      <c r="E467" s="116"/>
      <c r="F467" s="116"/>
      <c r="G467" s="116"/>
      <c r="H467" s="116"/>
      <c r="I467" s="126"/>
      <c r="J467" s="126"/>
      <c r="K467" s="126"/>
      <c r="L467" s="126"/>
      <c r="M467" s="126"/>
      <c r="N467" s="126"/>
      <c r="O467" s="126"/>
      <c r="P467" s="126"/>
      <c r="Q467" s="126"/>
      <c r="R467" s="126"/>
      <c r="S467" s="126"/>
      <c r="T467" s="126"/>
      <c r="U467" s="126"/>
    </row>
    <row r="468" spans="2:21" ht="12.95" customHeight="1">
      <c r="B468" s="524"/>
      <c r="C468" s="116"/>
      <c r="D468" s="116"/>
      <c r="E468" s="116"/>
      <c r="F468" s="117"/>
      <c r="G468" s="117"/>
      <c r="H468" s="117"/>
      <c r="I468" s="116"/>
      <c r="J468" s="116"/>
      <c r="K468" s="116"/>
      <c r="L468" s="116"/>
      <c r="M468" s="116"/>
      <c r="N468" s="117"/>
      <c r="O468" s="117"/>
      <c r="P468" s="117"/>
      <c r="Q468" s="117"/>
      <c r="R468" s="117"/>
      <c r="S468" s="117"/>
      <c r="T468" s="117"/>
      <c r="U468" s="117"/>
    </row>
    <row r="469" spans="2:21" ht="12.95" customHeight="1">
      <c r="B469" s="524"/>
      <c r="C469" s="116"/>
      <c r="D469" s="116"/>
      <c r="E469" s="116"/>
      <c r="F469" s="117"/>
      <c r="G469" s="117"/>
      <c r="H469" s="117"/>
      <c r="I469" s="116"/>
      <c r="J469" s="116"/>
      <c r="K469" s="116"/>
      <c r="L469" s="116"/>
      <c r="M469" s="116"/>
      <c r="N469" s="116"/>
      <c r="O469" s="116"/>
      <c r="P469" s="116"/>
      <c r="Q469" s="116"/>
      <c r="R469" s="116"/>
      <c r="S469" s="116"/>
      <c r="T469" s="116"/>
      <c r="U469" s="116"/>
    </row>
    <row r="470" spans="2:21" ht="12.95" customHeight="1">
      <c r="B470" s="524"/>
      <c r="C470" s="116"/>
      <c r="D470" s="116"/>
      <c r="E470" s="116"/>
      <c r="F470" s="117"/>
      <c r="G470" s="117"/>
      <c r="H470" s="117"/>
      <c r="I470" s="116"/>
      <c r="J470" s="116"/>
      <c r="K470" s="116"/>
      <c r="L470" s="116"/>
      <c r="M470" s="116"/>
      <c r="N470" s="116"/>
      <c r="O470" s="116"/>
      <c r="P470" s="116"/>
      <c r="Q470" s="116"/>
      <c r="R470" s="116"/>
      <c r="S470" s="116"/>
      <c r="T470" s="116"/>
      <c r="U470" s="116"/>
    </row>
    <row r="471" spans="2:21" ht="12.95" customHeight="1">
      <c r="B471" s="524"/>
      <c r="C471" s="116"/>
      <c r="D471" s="116"/>
      <c r="E471" s="116"/>
      <c r="F471" s="117"/>
      <c r="G471" s="117"/>
      <c r="H471" s="117"/>
      <c r="I471" s="126"/>
      <c r="J471" s="126"/>
      <c r="K471" s="126"/>
      <c r="L471" s="126"/>
      <c r="M471" s="126"/>
      <c r="N471" s="126"/>
      <c r="O471" s="126"/>
      <c r="P471" s="126"/>
      <c r="Q471" s="126"/>
      <c r="R471" s="126"/>
      <c r="S471" s="126"/>
      <c r="T471" s="126"/>
      <c r="U471" s="126"/>
    </row>
    <row r="472" spans="2:21" ht="12.95" customHeight="1">
      <c r="B472" s="524"/>
      <c r="C472" s="116"/>
      <c r="D472" s="116"/>
      <c r="E472" s="116"/>
      <c r="F472" s="116"/>
      <c r="G472" s="116"/>
      <c r="H472" s="116"/>
      <c r="I472" s="126"/>
      <c r="J472" s="126"/>
      <c r="K472" s="126"/>
      <c r="L472" s="126"/>
      <c r="M472" s="126"/>
      <c r="N472" s="126"/>
      <c r="O472" s="126"/>
      <c r="P472" s="126"/>
      <c r="Q472" s="126"/>
      <c r="R472" s="126"/>
      <c r="S472" s="126"/>
      <c r="T472" s="126"/>
      <c r="U472" s="126"/>
    </row>
    <row r="473" spans="2:21" ht="12.95" customHeight="1">
      <c r="B473" s="524"/>
      <c r="C473" s="116"/>
      <c r="D473" s="116"/>
      <c r="E473" s="116"/>
      <c r="F473" s="117"/>
      <c r="G473" s="117"/>
      <c r="H473" s="117"/>
      <c r="I473" s="117"/>
      <c r="J473" s="117"/>
      <c r="K473" s="117"/>
      <c r="L473" s="117"/>
      <c r="M473" s="117"/>
      <c r="N473" s="116"/>
      <c r="O473" s="116"/>
      <c r="P473" s="116"/>
      <c r="Q473" s="116"/>
      <c r="R473" s="116"/>
      <c r="S473" s="116"/>
      <c r="T473" s="116"/>
      <c r="U473" s="116"/>
    </row>
    <row r="474" spans="2:21" ht="12.95" customHeight="1">
      <c r="B474" s="524"/>
      <c r="C474" s="116"/>
      <c r="D474" s="116"/>
      <c r="E474" s="116"/>
      <c r="F474" s="117"/>
      <c r="G474" s="117"/>
      <c r="H474" s="117"/>
      <c r="I474" s="116"/>
      <c r="J474" s="116"/>
      <c r="K474" s="116"/>
      <c r="L474" s="116"/>
      <c r="M474" s="116"/>
      <c r="N474" s="116"/>
      <c r="O474" s="116"/>
      <c r="P474" s="116"/>
      <c r="Q474" s="116"/>
      <c r="R474" s="116"/>
      <c r="S474" s="116"/>
      <c r="T474" s="116"/>
      <c r="U474" s="116"/>
    </row>
    <row r="475" spans="2:21" ht="12.95" customHeight="1">
      <c r="B475" s="524"/>
      <c r="C475" s="116"/>
      <c r="D475" s="116"/>
      <c r="E475" s="116"/>
      <c r="F475" s="117"/>
      <c r="G475" s="117"/>
      <c r="H475" s="117"/>
      <c r="I475" s="116"/>
      <c r="J475" s="116"/>
      <c r="K475" s="116"/>
      <c r="L475" s="116"/>
      <c r="M475" s="116"/>
      <c r="N475" s="117"/>
      <c r="O475" s="117"/>
      <c r="P475" s="117"/>
      <c r="Q475" s="117"/>
      <c r="R475" s="117"/>
      <c r="S475" s="117"/>
      <c r="T475" s="117"/>
      <c r="U475" s="117"/>
    </row>
    <row r="476" spans="2:21" ht="12.95" customHeight="1">
      <c r="B476" s="524"/>
      <c r="C476" s="116"/>
      <c r="D476" s="116"/>
      <c r="E476" s="116"/>
      <c r="F476" s="117"/>
      <c r="G476" s="117"/>
      <c r="H476" s="117"/>
      <c r="I476" s="126"/>
      <c r="J476" s="126"/>
      <c r="K476" s="126"/>
      <c r="L476" s="126"/>
      <c r="M476" s="126"/>
      <c r="N476" s="117"/>
      <c r="O476" s="117"/>
      <c r="P476" s="117"/>
      <c r="Q476" s="117"/>
      <c r="R476" s="117"/>
      <c r="S476" s="117"/>
      <c r="T476" s="117"/>
      <c r="U476" s="117"/>
    </row>
    <row r="477" spans="2:21" ht="12.95" customHeight="1">
      <c r="B477" s="524"/>
      <c r="C477" s="116"/>
      <c r="D477" s="116"/>
      <c r="E477" s="116"/>
      <c r="F477" s="116"/>
      <c r="G477" s="116"/>
      <c r="H477" s="116"/>
      <c r="I477" s="126"/>
      <c r="J477" s="126"/>
      <c r="K477" s="126"/>
      <c r="L477" s="126"/>
      <c r="M477" s="126"/>
      <c r="N477" s="117"/>
      <c r="O477" s="117"/>
      <c r="P477" s="117"/>
      <c r="Q477" s="117"/>
      <c r="R477" s="117"/>
      <c r="S477" s="117"/>
      <c r="T477" s="117"/>
      <c r="U477" s="117"/>
    </row>
    <row r="478" spans="2:21" ht="12.95" customHeight="1">
      <c r="B478" s="524"/>
      <c r="C478" s="116"/>
      <c r="D478" s="116"/>
      <c r="E478" s="116"/>
      <c r="F478" s="117"/>
      <c r="G478" s="117"/>
      <c r="H478" s="117"/>
      <c r="I478" s="116"/>
      <c r="J478" s="116"/>
      <c r="K478" s="116"/>
      <c r="L478" s="116"/>
      <c r="M478" s="116"/>
      <c r="N478" s="116"/>
      <c r="O478" s="116"/>
      <c r="P478" s="116"/>
      <c r="Q478" s="116"/>
      <c r="R478" s="116"/>
      <c r="S478" s="116"/>
      <c r="T478" s="116"/>
      <c r="U478" s="116"/>
    </row>
    <row r="479" spans="2:21" ht="12.95" customHeight="1">
      <c r="B479" s="524"/>
      <c r="C479" s="116"/>
      <c r="D479" s="116"/>
      <c r="E479" s="116"/>
      <c r="F479" s="117"/>
      <c r="G479" s="117"/>
      <c r="H479" s="117"/>
      <c r="I479" s="116"/>
      <c r="J479" s="116"/>
      <c r="K479" s="116"/>
      <c r="L479" s="116"/>
      <c r="M479" s="116"/>
      <c r="N479" s="116"/>
      <c r="O479" s="116"/>
      <c r="P479" s="116"/>
      <c r="Q479" s="116"/>
      <c r="R479" s="116"/>
      <c r="S479" s="116"/>
      <c r="T479" s="116"/>
      <c r="U479" s="116"/>
    </row>
    <row r="480" spans="2:21" ht="12.95" customHeight="1">
      <c r="B480" s="524"/>
      <c r="C480" s="116"/>
      <c r="D480" s="116"/>
      <c r="E480" s="116"/>
      <c r="F480" s="117"/>
      <c r="G480" s="117"/>
      <c r="H480" s="117"/>
      <c r="I480" s="117"/>
      <c r="J480" s="117"/>
      <c r="K480" s="117"/>
      <c r="L480" s="117"/>
      <c r="M480" s="117"/>
      <c r="N480" s="116"/>
      <c r="O480" s="116"/>
      <c r="P480" s="116"/>
      <c r="Q480" s="116"/>
      <c r="R480" s="116"/>
      <c r="S480" s="116"/>
      <c r="T480" s="116"/>
      <c r="U480" s="116"/>
    </row>
    <row r="481" spans="2:21" ht="12.95" customHeight="1">
      <c r="B481" s="524"/>
      <c r="C481" s="116"/>
      <c r="D481" s="116"/>
      <c r="E481" s="116"/>
      <c r="F481" s="117"/>
      <c r="G481" s="117"/>
      <c r="H481" s="117"/>
      <c r="I481" s="117"/>
      <c r="J481" s="117"/>
      <c r="K481" s="117"/>
      <c r="L481" s="117"/>
      <c r="M481" s="117"/>
      <c r="N481" s="117"/>
      <c r="O481" s="117"/>
      <c r="P481" s="117"/>
      <c r="Q481" s="117"/>
      <c r="R481" s="117"/>
      <c r="S481" s="117"/>
      <c r="T481" s="117"/>
      <c r="U481" s="117"/>
    </row>
    <row r="482" spans="2:21" ht="12.95" customHeight="1">
      <c r="B482" s="524"/>
      <c r="C482" s="116"/>
      <c r="D482" s="116"/>
      <c r="E482" s="116"/>
      <c r="F482" s="116"/>
      <c r="G482" s="116"/>
      <c r="H482" s="116"/>
      <c r="I482" s="117"/>
      <c r="J482" s="117"/>
      <c r="K482" s="117"/>
      <c r="L482" s="117"/>
      <c r="M482" s="117"/>
      <c r="N482" s="117"/>
      <c r="O482" s="117"/>
      <c r="P482" s="117"/>
      <c r="Q482" s="117"/>
      <c r="R482" s="117"/>
      <c r="S482" s="117"/>
      <c r="T482" s="117"/>
      <c r="U482" s="117"/>
    </row>
    <row r="483" spans="2:21" ht="12.95" customHeight="1">
      <c r="B483" s="524"/>
      <c r="C483" s="116"/>
      <c r="D483" s="116"/>
      <c r="E483" s="116"/>
      <c r="F483" s="116"/>
      <c r="G483" s="116"/>
      <c r="H483" s="116"/>
      <c r="I483" s="116"/>
      <c r="J483" s="116"/>
      <c r="K483" s="116"/>
      <c r="L483" s="116"/>
      <c r="M483" s="116"/>
      <c r="N483" s="117"/>
      <c r="O483" s="117"/>
      <c r="P483" s="117"/>
      <c r="Q483" s="117"/>
      <c r="R483" s="117"/>
      <c r="S483" s="117"/>
      <c r="T483" s="117"/>
      <c r="U483" s="117"/>
    </row>
    <row r="484" spans="2:21" ht="12.95" customHeight="1">
      <c r="B484" s="524"/>
      <c r="C484" s="116"/>
      <c r="D484" s="116"/>
      <c r="E484" s="117"/>
      <c r="F484" s="119"/>
      <c r="G484" s="119"/>
      <c r="H484" s="119"/>
      <c r="I484" s="116"/>
      <c r="J484" s="116"/>
      <c r="K484" s="116"/>
      <c r="L484" s="116"/>
      <c r="M484" s="116"/>
      <c r="N484" s="117"/>
      <c r="O484" s="117"/>
      <c r="P484" s="117"/>
      <c r="Q484" s="117"/>
      <c r="R484" s="117"/>
      <c r="S484" s="117"/>
      <c r="T484" s="117"/>
      <c r="U484" s="117"/>
    </row>
    <row r="485" spans="2:21" ht="12.95" customHeight="1">
      <c r="B485" s="524"/>
      <c r="C485" s="116"/>
      <c r="D485" s="116"/>
      <c r="E485" s="117"/>
      <c r="F485" s="119"/>
      <c r="G485" s="119"/>
      <c r="H485" s="119"/>
      <c r="I485" s="116"/>
      <c r="J485" s="116"/>
      <c r="K485" s="116"/>
      <c r="L485" s="116"/>
      <c r="M485" s="116"/>
      <c r="N485" s="116"/>
      <c r="O485" s="116"/>
      <c r="P485" s="116"/>
      <c r="Q485" s="116"/>
      <c r="R485" s="116"/>
      <c r="S485" s="116"/>
      <c r="T485" s="116"/>
      <c r="U485" s="116"/>
    </row>
    <row r="486" spans="2:21" ht="12.95" customHeight="1">
      <c r="B486" s="524"/>
      <c r="C486" s="116"/>
      <c r="D486" s="116"/>
      <c r="E486" s="117"/>
      <c r="F486" s="119"/>
      <c r="G486" s="119"/>
      <c r="H486" s="119"/>
      <c r="I486" s="117"/>
      <c r="J486" s="117"/>
      <c r="K486" s="117"/>
      <c r="L486" s="117"/>
      <c r="M486" s="117"/>
      <c r="N486" s="116"/>
      <c r="O486" s="116"/>
      <c r="P486" s="116"/>
      <c r="Q486" s="116"/>
      <c r="R486" s="116"/>
      <c r="S486" s="116"/>
      <c r="T486" s="116"/>
      <c r="U486" s="116"/>
    </row>
    <row r="487" spans="2:21" ht="12.95" customHeight="1">
      <c r="B487" s="524"/>
      <c r="C487" s="116"/>
      <c r="D487" s="116"/>
      <c r="E487" s="117"/>
      <c r="F487" s="119"/>
      <c r="G487" s="119"/>
      <c r="H487" s="119"/>
      <c r="I487" s="117"/>
      <c r="J487" s="117"/>
      <c r="K487" s="117"/>
      <c r="L487" s="117"/>
      <c r="M487" s="117"/>
      <c r="N487" s="117"/>
      <c r="O487" s="117"/>
      <c r="P487" s="117"/>
      <c r="Q487" s="117"/>
      <c r="R487" s="117"/>
      <c r="S487" s="117"/>
      <c r="T487" s="117"/>
      <c r="U487" s="117"/>
    </row>
    <row r="488" spans="2:21" ht="12.95" customHeight="1">
      <c r="B488" s="524"/>
      <c r="C488" s="116"/>
      <c r="D488" s="116"/>
      <c r="E488" s="117"/>
      <c r="F488" s="119"/>
      <c r="G488" s="119"/>
      <c r="H488" s="119"/>
      <c r="I488" s="117"/>
      <c r="J488" s="117"/>
      <c r="K488" s="117"/>
      <c r="L488" s="117"/>
      <c r="M488" s="117"/>
      <c r="N488" s="117"/>
      <c r="O488" s="117"/>
      <c r="P488" s="117"/>
      <c r="Q488" s="117"/>
      <c r="R488" s="117"/>
      <c r="S488" s="117"/>
      <c r="T488" s="117"/>
      <c r="U488" s="117"/>
    </row>
    <row r="489" spans="2:21" ht="12.95" customHeight="1">
      <c r="B489" s="524"/>
      <c r="C489" s="116"/>
      <c r="D489" s="116"/>
      <c r="E489" s="116"/>
      <c r="F489" s="116"/>
      <c r="G489" s="116"/>
      <c r="H489" s="116"/>
      <c r="I489" s="117"/>
      <c r="J489" s="117"/>
      <c r="K489" s="117"/>
      <c r="L489" s="117"/>
      <c r="M489" s="117"/>
      <c r="N489" s="119"/>
      <c r="O489" s="119"/>
      <c r="P489" s="119"/>
      <c r="Q489" s="119"/>
      <c r="R489" s="119"/>
      <c r="S489" s="119"/>
      <c r="T489" s="119"/>
      <c r="U489" s="119"/>
    </row>
    <row r="490" spans="2:21" ht="12.95" customHeight="1">
      <c r="B490" s="524"/>
      <c r="C490" s="116"/>
      <c r="D490" s="116"/>
      <c r="E490" s="116"/>
      <c r="F490" s="116"/>
      <c r="G490" s="116"/>
      <c r="H490" s="116"/>
      <c r="I490" s="116"/>
      <c r="J490" s="116"/>
      <c r="K490" s="116"/>
      <c r="L490" s="116"/>
      <c r="M490" s="116"/>
      <c r="N490" s="116"/>
      <c r="O490" s="116"/>
      <c r="P490" s="116"/>
      <c r="Q490" s="116"/>
      <c r="R490" s="116"/>
      <c r="S490" s="116"/>
      <c r="T490" s="116"/>
      <c r="U490" s="116"/>
    </row>
    <row r="491" spans="2:21" ht="12.95" customHeight="1">
      <c r="B491" s="524"/>
      <c r="C491" s="116"/>
      <c r="D491" s="116"/>
      <c r="E491" s="117"/>
      <c r="F491" s="119"/>
      <c r="G491" s="119"/>
      <c r="H491" s="119"/>
      <c r="I491" s="116"/>
      <c r="J491" s="116"/>
      <c r="K491" s="116"/>
      <c r="L491" s="116"/>
      <c r="M491" s="116"/>
      <c r="N491" s="117"/>
      <c r="O491" s="117"/>
      <c r="P491" s="117"/>
      <c r="Q491" s="117"/>
      <c r="R491" s="117"/>
      <c r="S491" s="117"/>
      <c r="T491" s="117"/>
      <c r="U491" s="117"/>
    </row>
    <row r="492" spans="2:21" ht="12.95" customHeight="1">
      <c r="B492" s="524"/>
      <c r="C492" s="116"/>
      <c r="D492" s="116"/>
      <c r="E492" s="117"/>
      <c r="F492" s="119"/>
      <c r="G492" s="119"/>
      <c r="H492" s="119"/>
      <c r="I492" s="117"/>
      <c r="J492" s="117"/>
      <c r="K492" s="117"/>
      <c r="L492" s="117"/>
      <c r="M492" s="117"/>
      <c r="N492" s="117"/>
      <c r="O492" s="117"/>
      <c r="P492" s="117"/>
      <c r="Q492" s="117"/>
      <c r="R492" s="117"/>
      <c r="S492" s="117"/>
      <c r="T492" s="117"/>
      <c r="U492" s="117"/>
    </row>
    <row r="493" spans="2:21" ht="12.95" customHeight="1">
      <c r="B493" s="524"/>
      <c r="C493" s="116"/>
      <c r="D493" s="116"/>
      <c r="E493" s="117"/>
      <c r="F493" s="119"/>
      <c r="G493" s="119"/>
      <c r="H493" s="119"/>
      <c r="I493" s="117"/>
      <c r="J493" s="117"/>
      <c r="K493" s="117"/>
      <c r="L493" s="117"/>
      <c r="M493" s="117"/>
      <c r="N493" s="117"/>
      <c r="O493" s="117"/>
      <c r="P493" s="117"/>
      <c r="Q493" s="117"/>
      <c r="R493" s="117"/>
      <c r="S493" s="117"/>
      <c r="T493" s="117"/>
      <c r="U493" s="117"/>
    </row>
    <row r="494" spans="2:21" ht="12.95" customHeight="1">
      <c r="B494" s="524"/>
      <c r="C494" s="116"/>
      <c r="D494" s="116"/>
      <c r="E494" s="116"/>
      <c r="F494" s="116"/>
      <c r="G494" s="116"/>
      <c r="H494" s="116"/>
      <c r="I494" s="119"/>
      <c r="J494" s="119"/>
      <c r="K494" s="119"/>
      <c r="L494" s="119"/>
      <c r="M494" s="119"/>
      <c r="N494" s="117"/>
      <c r="O494" s="117"/>
      <c r="P494" s="117"/>
      <c r="Q494" s="117"/>
      <c r="R494" s="117"/>
      <c r="S494" s="117"/>
      <c r="T494" s="117"/>
      <c r="U494" s="117"/>
    </row>
    <row r="495" spans="2:21" ht="12.95" customHeight="1">
      <c r="B495" s="524"/>
      <c r="C495" s="116"/>
      <c r="D495" s="116"/>
      <c r="E495" s="117"/>
      <c r="F495" s="119"/>
      <c r="G495" s="119"/>
      <c r="H495" s="119"/>
      <c r="I495" s="116"/>
      <c r="J495" s="116"/>
      <c r="K495" s="116"/>
      <c r="L495" s="116"/>
      <c r="M495" s="116"/>
      <c r="N495" s="117"/>
      <c r="O495" s="117"/>
      <c r="P495" s="117"/>
      <c r="Q495" s="117"/>
      <c r="R495" s="117"/>
      <c r="S495" s="117"/>
      <c r="T495" s="117"/>
      <c r="U495" s="117"/>
    </row>
    <row r="496" spans="2:21" ht="12.95" customHeight="1">
      <c r="B496" s="524"/>
      <c r="C496" s="117"/>
      <c r="D496" s="117"/>
      <c r="E496" s="117"/>
      <c r="F496" s="119"/>
      <c r="G496" s="119"/>
      <c r="H496" s="119"/>
      <c r="I496" s="117"/>
      <c r="J496" s="117"/>
      <c r="K496" s="117"/>
      <c r="L496" s="117"/>
      <c r="M496" s="117"/>
      <c r="N496" s="119"/>
      <c r="O496" s="119"/>
      <c r="P496" s="119"/>
      <c r="Q496" s="119"/>
      <c r="R496" s="119"/>
      <c r="S496" s="119"/>
      <c r="T496" s="119"/>
      <c r="U496" s="119"/>
    </row>
    <row r="497" spans="2:21" ht="12.95" customHeight="1">
      <c r="B497" s="524"/>
      <c r="C497" s="117"/>
      <c r="D497" s="117"/>
      <c r="E497" s="117"/>
      <c r="F497" s="119"/>
      <c r="G497" s="119"/>
      <c r="H497" s="119"/>
      <c r="I497" s="117"/>
      <c r="J497" s="117"/>
      <c r="K497" s="117"/>
      <c r="L497" s="117"/>
      <c r="M497" s="117"/>
      <c r="N497" s="116"/>
      <c r="O497" s="116"/>
      <c r="P497" s="116"/>
      <c r="Q497" s="116"/>
      <c r="R497" s="116"/>
      <c r="S497" s="116"/>
      <c r="T497" s="116"/>
      <c r="U497" s="116"/>
    </row>
    <row r="498" spans="2:21" ht="12.95" customHeight="1">
      <c r="B498" s="524"/>
      <c r="C498" s="116"/>
      <c r="D498" s="116"/>
      <c r="E498" s="117"/>
      <c r="F498" s="119"/>
      <c r="G498" s="119"/>
      <c r="H498" s="119"/>
      <c r="I498" s="117"/>
      <c r="J498" s="117"/>
      <c r="K498" s="117"/>
      <c r="L498" s="117"/>
      <c r="M498" s="117"/>
      <c r="N498" s="117"/>
      <c r="O498" s="117"/>
      <c r="P498" s="117"/>
      <c r="Q498" s="117"/>
      <c r="R498" s="117"/>
      <c r="S498" s="117"/>
      <c r="T498" s="117"/>
      <c r="U498" s="117"/>
    </row>
    <row r="499" spans="2:21" ht="12.95" customHeight="1">
      <c r="B499" s="524"/>
      <c r="C499" s="117"/>
      <c r="D499" s="117"/>
      <c r="E499" s="117"/>
      <c r="F499" s="119"/>
      <c r="G499" s="119"/>
      <c r="H499" s="119"/>
      <c r="I499" s="117"/>
      <c r="J499" s="117"/>
      <c r="K499" s="117"/>
      <c r="L499" s="117"/>
      <c r="M499" s="117"/>
      <c r="N499" s="117"/>
      <c r="O499" s="117"/>
      <c r="P499" s="117"/>
      <c r="Q499" s="117"/>
      <c r="R499" s="117"/>
      <c r="S499" s="117"/>
      <c r="T499" s="117"/>
      <c r="U499" s="117"/>
    </row>
    <row r="500" spans="2:21" ht="12.95" customHeight="1">
      <c r="B500" s="524"/>
      <c r="C500" s="117"/>
      <c r="D500" s="117"/>
      <c r="E500" s="117"/>
      <c r="F500" s="119"/>
      <c r="G500" s="119"/>
      <c r="H500" s="119"/>
      <c r="I500" s="117"/>
      <c r="J500" s="117"/>
      <c r="K500" s="117"/>
      <c r="L500" s="117"/>
      <c r="M500" s="117"/>
      <c r="N500" s="117"/>
      <c r="O500" s="117"/>
      <c r="P500" s="117"/>
      <c r="Q500" s="117"/>
      <c r="R500" s="117"/>
      <c r="S500" s="117"/>
      <c r="T500" s="117"/>
      <c r="U500" s="117"/>
    </row>
    <row r="501" spans="2:21" ht="12.95" customHeight="1">
      <c r="B501" s="524"/>
      <c r="C501" s="117"/>
      <c r="D501" s="117"/>
      <c r="E501" s="117"/>
      <c r="F501" s="116"/>
      <c r="G501" s="116"/>
      <c r="H501" s="116"/>
      <c r="I501" s="119"/>
      <c r="J501" s="119"/>
      <c r="K501" s="119"/>
      <c r="L501" s="119"/>
      <c r="M501" s="119"/>
      <c r="N501" s="116"/>
      <c r="O501" s="116"/>
      <c r="P501" s="116"/>
      <c r="Q501" s="116"/>
      <c r="R501" s="116"/>
      <c r="S501" s="116"/>
      <c r="T501" s="116"/>
      <c r="U501" s="116"/>
    </row>
    <row r="502" spans="2:21" ht="12.95" customHeight="1">
      <c r="B502" s="524"/>
      <c r="C502" s="117"/>
      <c r="D502" s="117"/>
      <c r="E502" s="117"/>
      <c r="F502" s="119"/>
      <c r="G502" s="119"/>
      <c r="H502" s="119"/>
      <c r="I502" s="116"/>
      <c r="J502" s="116"/>
      <c r="K502" s="116"/>
      <c r="L502" s="116"/>
      <c r="M502" s="116"/>
      <c r="N502" s="116"/>
      <c r="O502" s="116"/>
      <c r="P502" s="116"/>
      <c r="Q502" s="116"/>
      <c r="R502" s="116"/>
      <c r="S502" s="116"/>
      <c r="T502" s="116"/>
      <c r="U502" s="116"/>
    </row>
    <row r="503" spans="2:21" ht="12.95" customHeight="1">
      <c r="B503" s="524"/>
      <c r="C503" s="117"/>
      <c r="D503" s="117"/>
      <c r="E503" s="117"/>
      <c r="F503" s="119"/>
      <c r="G503" s="119"/>
      <c r="H503" s="119"/>
      <c r="I503" s="117"/>
      <c r="J503" s="117"/>
      <c r="K503" s="117"/>
      <c r="L503" s="117"/>
      <c r="M503" s="117"/>
      <c r="N503" s="116"/>
      <c r="O503" s="116"/>
      <c r="P503" s="116"/>
      <c r="Q503" s="116"/>
      <c r="R503" s="116"/>
      <c r="S503" s="116"/>
      <c r="T503" s="116"/>
      <c r="U503" s="116"/>
    </row>
    <row r="504" spans="2:21" ht="12.95" customHeight="1">
      <c r="B504" s="524"/>
      <c r="C504" s="117"/>
      <c r="D504" s="117"/>
      <c r="E504" s="117"/>
      <c r="F504" s="119"/>
      <c r="G504" s="119"/>
      <c r="H504" s="119"/>
      <c r="I504" s="117"/>
      <c r="J504" s="117"/>
      <c r="K504" s="117"/>
      <c r="L504" s="117"/>
      <c r="M504" s="117"/>
      <c r="N504" s="116"/>
      <c r="O504" s="116"/>
      <c r="P504" s="116"/>
      <c r="Q504" s="116"/>
      <c r="R504" s="116"/>
      <c r="S504" s="116"/>
      <c r="T504" s="116"/>
      <c r="U504" s="116"/>
    </row>
    <row r="505" spans="2:21" ht="12.95" customHeight="1">
      <c r="B505" s="524"/>
      <c r="C505" s="117"/>
      <c r="D505" s="117"/>
      <c r="E505" s="117"/>
      <c r="F505" s="119"/>
      <c r="G505" s="119"/>
      <c r="H505" s="119"/>
      <c r="I505" s="117"/>
      <c r="J505" s="117"/>
      <c r="K505" s="117"/>
      <c r="L505" s="117"/>
      <c r="M505" s="117"/>
      <c r="N505" s="117"/>
      <c r="O505" s="117"/>
      <c r="P505" s="117"/>
      <c r="Q505" s="117"/>
      <c r="R505" s="117"/>
      <c r="S505" s="117"/>
      <c r="T505" s="117"/>
      <c r="U505" s="117"/>
    </row>
    <row r="506" spans="2:21" ht="12.95" customHeight="1">
      <c r="B506" s="524"/>
      <c r="C506" s="117"/>
      <c r="D506" s="117"/>
      <c r="E506" s="117"/>
      <c r="F506" s="116"/>
      <c r="G506" s="116"/>
      <c r="H506" s="116"/>
      <c r="I506" s="116"/>
      <c r="J506" s="116"/>
      <c r="K506" s="116"/>
      <c r="L506" s="116"/>
      <c r="M506" s="116"/>
      <c r="N506" s="117"/>
      <c r="O506" s="117"/>
      <c r="P506" s="117"/>
      <c r="Q506" s="117"/>
      <c r="R506" s="117"/>
      <c r="S506" s="117"/>
      <c r="T506" s="117"/>
      <c r="U506" s="117"/>
    </row>
    <row r="507" spans="2:21" ht="12.95" customHeight="1">
      <c r="B507" s="524"/>
      <c r="C507" s="117"/>
      <c r="D507" s="117"/>
      <c r="E507" s="117"/>
      <c r="F507" s="119"/>
      <c r="G507" s="119"/>
      <c r="H507" s="119"/>
      <c r="I507" s="116"/>
      <c r="J507" s="116"/>
      <c r="K507" s="116"/>
      <c r="L507" s="116"/>
      <c r="M507" s="116"/>
      <c r="N507" s="117"/>
      <c r="O507" s="117"/>
      <c r="P507" s="117"/>
      <c r="Q507" s="117"/>
      <c r="R507" s="117"/>
      <c r="S507" s="117"/>
      <c r="T507" s="117"/>
      <c r="U507" s="117"/>
    </row>
    <row r="508" spans="2:21" ht="12.95" customHeight="1">
      <c r="B508" s="524"/>
      <c r="C508" s="117"/>
      <c r="D508" s="117"/>
      <c r="E508" s="117"/>
      <c r="F508" s="119"/>
      <c r="G508" s="119"/>
      <c r="H508" s="119"/>
      <c r="I508" s="116"/>
      <c r="J508" s="116"/>
      <c r="K508" s="116"/>
      <c r="L508" s="116"/>
      <c r="M508" s="116"/>
      <c r="N508" s="116"/>
      <c r="O508" s="116"/>
      <c r="P508" s="116"/>
      <c r="Q508" s="116"/>
      <c r="R508" s="116"/>
      <c r="S508" s="116"/>
      <c r="T508" s="116"/>
      <c r="U508" s="116"/>
    </row>
    <row r="509" spans="2:21" ht="12.95" customHeight="1">
      <c r="B509" s="524"/>
      <c r="C509" s="117"/>
      <c r="D509" s="117"/>
      <c r="E509" s="117"/>
      <c r="F509" s="119"/>
      <c r="G509" s="119"/>
      <c r="H509" s="119"/>
      <c r="I509" s="116"/>
      <c r="J509" s="116"/>
      <c r="K509" s="116"/>
      <c r="L509" s="116"/>
      <c r="M509" s="116"/>
      <c r="N509" s="116"/>
      <c r="O509" s="116"/>
      <c r="P509" s="116"/>
      <c r="Q509" s="116"/>
      <c r="R509" s="116"/>
      <c r="S509" s="116"/>
      <c r="T509" s="116"/>
      <c r="U509" s="116"/>
    </row>
    <row r="510" spans="2:21" ht="12.95" customHeight="1">
      <c r="B510" s="524"/>
      <c r="C510" s="116"/>
      <c r="D510" s="116"/>
      <c r="E510" s="117"/>
      <c r="F510" s="119"/>
      <c r="G510" s="119"/>
      <c r="H510" s="119"/>
      <c r="I510" s="117"/>
      <c r="J510" s="117"/>
      <c r="K510" s="117"/>
      <c r="L510" s="117"/>
      <c r="M510" s="117"/>
      <c r="N510" s="117"/>
      <c r="O510" s="117"/>
      <c r="P510" s="117"/>
      <c r="Q510" s="117"/>
      <c r="R510" s="117"/>
      <c r="S510" s="117"/>
      <c r="T510" s="117"/>
      <c r="U510" s="117"/>
    </row>
    <row r="511" spans="2:21" ht="12.95" customHeight="1">
      <c r="B511" s="524"/>
      <c r="C511" s="116"/>
      <c r="D511" s="116"/>
      <c r="E511" s="117"/>
      <c r="F511" s="119"/>
      <c r="G511" s="119"/>
      <c r="H511" s="119"/>
      <c r="I511" s="117"/>
      <c r="J511" s="117"/>
      <c r="K511" s="117"/>
      <c r="L511" s="117"/>
      <c r="M511" s="117"/>
      <c r="N511" s="116"/>
      <c r="O511" s="116"/>
      <c r="P511" s="116"/>
      <c r="Q511" s="116"/>
      <c r="R511" s="116"/>
      <c r="S511" s="116"/>
      <c r="T511" s="116"/>
      <c r="U511" s="116"/>
    </row>
    <row r="512" spans="2:21" ht="12.95" customHeight="1">
      <c r="B512" s="524"/>
      <c r="C512" s="116"/>
      <c r="D512" s="116"/>
      <c r="E512" s="116"/>
      <c r="F512" s="116"/>
      <c r="G512" s="116"/>
      <c r="H512" s="116"/>
      <c r="I512" s="117"/>
      <c r="J512" s="117"/>
      <c r="K512" s="117"/>
      <c r="L512" s="117"/>
      <c r="M512" s="117"/>
      <c r="N512" s="120"/>
      <c r="O512" s="120"/>
      <c r="P512" s="120"/>
      <c r="Q512" s="120"/>
      <c r="R512" s="120"/>
      <c r="S512" s="120"/>
      <c r="T512" s="120"/>
      <c r="U512" s="120"/>
    </row>
    <row r="513" spans="2:21" ht="12.95" customHeight="1">
      <c r="B513" s="524"/>
      <c r="C513" s="116"/>
      <c r="D513" s="116"/>
      <c r="E513" s="117"/>
      <c r="F513" s="116"/>
      <c r="G513" s="116"/>
      <c r="H513" s="116"/>
      <c r="I513" s="116"/>
      <c r="J513" s="116"/>
      <c r="K513" s="116"/>
      <c r="L513" s="116"/>
      <c r="M513" s="116"/>
      <c r="N513" s="125"/>
      <c r="O513" s="125"/>
      <c r="P513" s="125"/>
      <c r="Q513" s="125"/>
      <c r="R513" s="125"/>
      <c r="S513" s="125"/>
      <c r="T513" s="125"/>
      <c r="U513" s="125"/>
    </row>
    <row r="514" spans="2:21" ht="12.95" customHeight="1">
      <c r="B514" s="524"/>
      <c r="C514" s="119"/>
      <c r="D514" s="119"/>
      <c r="E514" s="117"/>
      <c r="F514" s="122"/>
      <c r="G514" s="122"/>
      <c r="H514" s="122"/>
      <c r="I514" s="116"/>
      <c r="J514" s="116"/>
      <c r="K514" s="116"/>
      <c r="L514" s="116"/>
      <c r="M514" s="116"/>
      <c r="N514" s="125"/>
      <c r="O514" s="125"/>
      <c r="P514" s="125"/>
      <c r="Q514" s="125"/>
      <c r="R514" s="125"/>
      <c r="S514" s="125"/>
      <c r="T514" s="125"/>
      <c r="U514" s="125"/>
    </row>
    <row r="515" spans="2:21" ht="12.95" customHeight="1">
      <c r="B515" s="524"/>
      <c r="C515" s="116"/>
      <c r="D515" s="116"/>
      <c r="E515" s="117"/>
      <c r="F515" s="117"/>
      <c r="G515" s="117"/>
      <c r="H515" s="117"/>
      <c r="I515" s="117"/>
      <c r="J515" s="117"/>
      <c r="K515" s="117"/>
      <c r="L515" s="117"/>
      <c r="M515" s="117"/>
      <c r="N515" s="122"/>
      <c r="O515" s="122"/>
      <c r="P515" s="122"/>
      <c r="Q515" s="122"/>
      <c r="R515" s="122"/>
      <c r="S515" s="122"/>
      <c r="T515" s="122"/>
      <c r="U515" s="122"/>
    </row>
    <row r="516" spans="2:21" ht="12.95" customHeight="1">
      <c r="B516" s="524"/>
      <c r="C516" s="117"/>
      <c r="D516" s="117"/>
      <c r="E516" s="117"/>
      <c r="F516" s="120"/>
      <c r="G516" s="120"/>
      <c r="H516" s="120"/>
      <c r="I516" s="116"/>
      <c r="J516" s="116"/>
      <c r="K516" s="116"/>
      <c r="L516" s="116"/>
      <c r="M516" s="116"/>
      <c r="N516" s="116"/>
      <c r="O516" s="116"/>
      <c r="P516" s="116"/>
      <c r="Q516" s="116"/>
      <c r="R516" s="116"/>
      <c r="S516" s="116"/>
      <c r="T516" s="116"/>
      <c r="U516" s="116"/>
    </row>
    <row r="517" spans="2:21" ht="12.95" customHeight="1">
      <c r="B517" s="524"/>
      <c r="C517" s="116"/>
      <c r="D517" s="116"/>
      <c r="E517" s="117"/>
      <c r="F517" s="125"/>
      <c r="G517" s="125"/>
      <c r="H517" s="125"/>
      <c r="I517" s="120"/>
      <c r="J517" s="120"/>
      <c r="K517" s="120"/>
      <c r="L517" s="120"/>
      <c r="M517" s="120"/>
      <c r="N517" s="116"/>
      <c r="O517" s="116"/>
      <c r="P517" s="116"/>
      <c r="Q517" s="116"/>
      <c r="R517" s="116"/>
      <c r="S517" s="116"/>
      <c r="T517" s="116"/>
      <c r="U517" s="116"/>
    </row>
    <row r="518" spans="2:21" ht="12.95" customHeight="1">
      <c r="B518" s="524"/>
      <c r="C518" s="116"/>
      <c r="D518" s="116"/>
      <c r="E518" s="117"/>
      <c r="F518" s="125"/>
      <c r="G518" s="125"/>
      <c r="H518" s="125"/>
      <c r="I518" s="125"/>
      <c r="J518" s="125"/>
      <c r="K518" s="125"/>
      <c r="L518" s="125"/>
      <c r="M518" s="125"/>
      <c r="N518" s="119"/>
      <c r="O518" s="119"/>
      <c r="P518" s="119"/>
      <c r="Q518" s="119"/>
      <c r="R518" s="119"/>
      <c r="S518" s="119"/>
      <c r="T518" s="119"/>
      <c r="U518" s="119"/>
    </row>
    <row r="519" spans="2:21" ht="12.95" customHeight="1">
      <c r="B519" s="524"/>
      <c r="C519" s="116"/>
      <c r="D519" s="116"/>
      <c r="E519" s="117"/>
      <c r="F519" s="122"/>
      <c r="G519" s="122"/>
      <c r="H519" s="122"/>
      <c r="I519" s="125"/>
      <c r="J519" s="125"/>
      <c r="K519" s="125"/>
      <c r="L519" s="125"/>
      <c r="M519" s="125"/>
      <c r="N519" s="119"/>
      <c r="O519" s="119"/>
      <c r="P519" s="119"/>
      <c r="Q519" s="119"/>
      <c r="R519" s="119"/>
      <c r="S519" s="119"/>
      <c r="T519" s="119"/>
      <c r="U519" s="119"/>
    </row>
    <row r="520" spans="2:21" ht="12.95" customHeight="1">
      <c r="B520" s="524"/>
      <c r="C520" s="116"/>
      <c r="D520" s="116"/>
      <c r="E520" s="117"/>
      <c r="F520" s="116"/>
      <c r="G520" s="116"/>
      <c r="H520" s="116"/>
      <c r="I520" s="122"/>
      <c r="J520" s="122"/>
      <c r="K520" s="122"/>
      <c r="L520" s="122"/>
      <c r="M520" s="122"/>
      <c r="N520" s="116"/>
      <c r="O520" s="116"/>
      <c r="P520" s="116"/>
      <c r="Q520" s="116"/>
      <c r="R520" s="116"/>
      <c r="S520" s="116"/>
      <c r="T520" s="116"/>
      <c r="U520" s="116"/>
    </row>
    <row r="521" spans="2:21" ht="12.95" customHeight="1">
      <c r="B521" s="524"/>
      <c r="C521" s="119"/>
      <c r="D521" s="119"/>
      <c r="E521" s="117"/>
      <c r="F521" s="116"/>
      <c r="G521" s="116"/>
      <c r="H521" s="116"/>
      <c r="I521" s="116"/>
      <c r="J521" s="116"/>
      <c r="K521" s="116"/>
      <c r="L521" s="116"/>
      <c r="M521" s="116"/>
      <c r="N521" s="118"/>
      <c r="O521" s="118"/>
      <c r="P521" s="118"/>
      <c r="Q521" s="118"/>
      <c r="R521" s="118"/>
      <c r="S521" s="118"/>
      <c r="T521" s="118"/>
      <c r="U521" s="118"/>
    </row>
    <row r="522" spans="2:21" ht="12.95" customHeight="1">
      <c r="B522" s="524"/>
      <c r="C522" s="116"/>
      <c r="D522" s="116"/>
      <c r="E522" s="116"/>
      <c r="F522" s="118"/>
      <c r="G522" s="118"/>
      <c r="H522" s="118"/>
      <c r="I522" s="116"/>
      <c r="J522" s="116"/>
      <c r="K522" s="116"/>
      <c r="L522" s="116"/>
      <c r="M522" s="116"/>
      <c r="N522" s="116"/>
      <c r="O522" s="116"/>
      <c r="P522" s="116"/>
      <c r="Q522" s="116"/>
      <c r="R522" s="116"/>
      <c r="S522" s="116"/>
      <c r="T522" s="116"/>
      <c r="U522" s="116"/>
    </row>
    <row r="523" spans="2:21" ht="12.95" customHeight="1">
      <c r="B523" s="524"/>
      <c r="C523" s="117"/>
      <c r="D523" s="117"/>
      <c r="E523" s="116"/>
      <c r="F523" s="118"/>
      <c r="G523" s="118"/>
      <c r="H523" s="118"/>
      <c r="I523" s="119"/>
      <c r="J523" s="119"/>
      <c r="K523" s="119"/>
      <c r="L523" s="119"/>
      <c r="M523" s="119"/>
      <c r="N523" s="116"/>
      <c r="O523" s="116"/>
      <c r="P523" s="116"/>
      <c r="Q523" s="116"/>
      <c r="R523" s="116"/>
      <c r="S523" s="116"/>
      <c r="T523" s="116"/>
      <c r="U523" s="116"/>
    </row>
    <row r="524" spans="2:21" ht="12.95" customHeight="1">
      <c r="B524" s="524"/>
      <c r="C524" s="116"/>
      <c r="D524" s="116"/>
      <c r="E524" s="116"/>
      <c r="F524" s="119"/>
      <c r="G524" s="119"/>
      <c r="H524" s="119"/>
      <c r="I524" s="119"/>
      <c r="J524" s="119"/>
      <c r="K524" s="119"/>
      <c r="L524" s="119"/>
      <c r="M524" s="119"/>
      <c r="N524" s="116"/>
      <c r="O524" s="116"/>
      <c r="P524" s="116"/>
      <c r="Q524" s="116"/>
      <c r="R524" s="116"/>
      <c r="S524" s="116"/>
      <c r="T524" s="116"/>
      <c r="U524" s="116"/>
    </row>
    <row r="525" spans="2:21" ht="12.95" customHeight="1">
      <c r="B525" s="524"/>
      <c r="C525" s="116"/>
      <c r="D525" s="116"/>
      <c r="E525" s="118"/>
      <c r="F525" s="119"/>
      <c r="G525" s="119"/>
      <c r="H525" s="119"/>
      <c r="I525" s="116"/>
      <c r="J525" s="116"/>
      <c r="K525" s="116"/>
      <c r="L525" s="116"/>
      <c r="M525" s="116"/>
      <c r="N525" s="116"/>
      <c r="O525" s="116"/>
      <c r="P525" s="116"/>
      <c r="Q525" s="116"/>
      <c r="R525" s="116"/>
      <c r="S525" s="116"/>
      <c r="T525" s="116"/>
      <c r="U525" s="116"/>
    </row>
    <row r="526" spans="2:21" ht="12.95" customHeight="1">
      <c r="B526" s="524"/>
      <c r="C526" s="116"/>
      <c r="D526" s="116"/>
      <c r="E526" s="117"/>
      <c r="F526" s="117"/>
      <c r="G526" s="117"/>
      <c r="H526" s="117"/>
      <c r="I526" s="118"/>
      <c r="J526" s="118"/>
      <c r="K526" s="118"/>
      <c r="L526" s="118"/>
      <c r="M526" s="118"/>
      <c r="N526" s="116"/>
      <c r="O526" s="116"/>
      <c r="P526" s="116"/>
      <c r="Q526" s="116"/>
      <c r="R526" s="116"/>
      <c r="S526" s="116"/>
      <c r="T526" s="116"/>
      <c r="U526" s="116"/>
    </row>
    <row r="527" spans="2:21" ht="12.95" customHeight="1">
      <c r="B527" s="524"/>
      <c r="C527" s="119"/>
      <c r="D527" s="119"/>
      <c r="E527" s="117"/>
      <c r="F527" s="117"/>
      <c r="G527" s="117"/>
      <c r="H527" s="117"/>
      <c r="I527" s="116"/>
      <c r="J527" s="116"/>
      <c r="K527" s="116"/>
      <c r="L527" s="116"/>
      <c r="M527" s="116"/>
      <c r="N527" s="116"/>
      <c r="O527" s="116"/>
      <c r="P527" s="116"/>
      <c r="Q527" s="116"/>
      <c r="R527" s="116"/>
      <c r="S527" s="116"/>
      <c r="T527" s="116"/>
      <c r="U527" s="116"/>
    </row>
    <row r="528" spans="2:21" ht="12.95" customHeight="1">
      <c r="B528" s="524"/>
      <c r="C528" s="119"/>
      <c r="D528" s="119"/>
      <c r="E528" s="117"/>
      <c r="F528" s="125"/>
      <c r="G528" s="125"/>
      <c r="H528" s="125"/>
      <c r="I528" s="116"/>
      <c r="J528" s="116"/>
      <c r="K528" s="116"/>
      <c r="L528" s="116"/>
      <c r="M528" s="116"/>
      <c r="N528" s="116"/>
      <c r="O528" s="116"/>
      <c r="P528" s="116"/>
      <c r="Q528" s="116"/>
      <c r="R528" s="116"/>
      <c r="S528" s="116"/>
      <c r="T528" s="116"/>
      <c r="U528" s="116"/>
    </row>
    <row r="529" spans="2:21" ht="12.95" customHeight="1">
      <c r="B529" s="524"/>
      <c r="C529" s="119"/>
      <c r="D529" s="119"/>
      <c r="E529" s="116"/>
      <c r="F529" s="116"/>
      <c r="G529" s="116"/>
      <c r="H529" s="116"/>
      <c r="I529" s="116"/>
      <c r="J529" s="116"/>
      <c r="K529" s="116"/>
      <c r="L529" s="116"/>
      <c r="M529" s="116"/>
      <c r="N529" s="123"/>
      <c r="O529" s="123"/>
      <c r="P529" s="123"/>
      <c r="Q529" s="123"/>
      <c r="R529" s="123"/>
      <c r="S529" s="123"/>
      <c r="T529" s="123"/>
      <c r="U529" s="123"/>
    </row>
    <row r="530" spans="2:21" ht="12.95" customHeight="1">
      <c r="B530" s="524"/>
      <c r="C530" s="126"/>
      <c r="D530" s="126"/>
      <c r="E530" s="116"/>
      <c r="F530" s="116"/>
      <c r="G530" s="116"/>
      <c r="H530" s="116"/>
      <c r="I530" s="116"/>
      <c r="J530" s="116"/>
      <c r="K530" s="116"/>
      <c r="L530" s="116"/>
      <c r="M530" s="116"/>
      <c r="N530" s="128"/>
      <c r="O530" s="128"/>
      <c r="P530" s="128"/>
      <c r="Q530" s="128"/>
      <c r="R530" s="128"/>
      <c r="S530" s="128"/>
      <c r="T530" s="128"/>
      <c r="U530" s="128"/>
    </row>
    <row r="531" spans="2:21" ht="12.95" customHeight="1">
      <c r="B531" s="524"/>
      <c r="C531" s="117"/>
      <c r="D531" s="117"/>
      <c r="E531" s="116"/>
      <c r="F531" s="116"/>
      <c r="G531" s="116"/>
      <c r="H531" s="116"/>
      <c r="I531" s="116"/>
      <c r="J531" s="116"/>
      <c r="K531" s="116"/>
      <c r="L531" s="116"/>
      <c r="M531" s="116"/>
      <c r="N531" s="116"/>
      <c r="O531" s="116"/>
      <c r="P531" s="116"/>
      <c r="Q531" s="116"/>
      <c r="R531" s="116"/>
      <c r="S531" s="116"/>
      <c r="T531" s="116"/>
      <c r="U531" s="116"/>
    </row>
    <row r="532" spans="2:21" ht="12.95" customHeight="1">
      <c r="B532" s="524"/>
      <c r="C532" s="119"/>
      <c r="D532" s="119"/>
      <c r="E532" s="117"/>
      <c r="F532" s="116"/>
      <c r="G532" s="116"/>
      <c r="H532" s="116"/>
      <c r="I532" s="116"/>
      <c r="J532" s="116"/>
      <c r="K532" s="116"/>
      <c r="L532" s="116"/>
      <c r="M532" s="116"/>
      <c r="N532" s="116"/>
      <c r="O532" s="116"/>
      <c r="P532" s="116"/>
      <c r="Q532" s="116"/>
      <c r="R532" s="116"/>
      <c r="S532" s="116"/>
      <c r="T532" s="116"/>
      <c r="U532" s="116"/>
    </row>
    <row r="533" spans="2:21" ht="12.95" customHeight="1">
      <c r="B533" s="524"/>
      <c r="C533" s="126"/>
      <c r="D533" s="126"/>
      <c r="E533" s="116"/>
      <c r="F533" s="118"/>
      <c r="G533" s="118"/>
      <c r="H533" s="118"/>
      <c r="I533" s="116"/>
      <c r="J533" s="116"/>
      <c r="K533" s="116"/>
      <c r="L533" s="116"/>
      <c r="M533" s="116"/>
      <c r="N533" s="117"/>
      <c r="O533" s="117"/>
      <c r="P533" s="117"/>
      <c r="Q533" s="117"/>
      <c r="R533" s="117"/>
      <c r="S533" s="117"/>
      <c r="T533" s="117"/>
      <c r="U533" s="117"/>
    </row>
    <row r="534" spans="2:21" ht="12.95" customHeight="1">
      <c r="B534" s="524"/>
      <c r="C534" s="117"/>
      <c r="D534" s="117"/>
      <c r="E534" s="116"/>
      <c r="F534" s="118"/>
      <c r="G534" s="118"/>
      <c r="H534" s="118"/>
      <c r="I534" s="123"/>
      <c r="J534" s="123"/>
      <c r="K534" s="123"/>
      <c r="L534" s="123"/>
      <c r="M534" s="123"/>
      <c r="N534" s="117"/>
      <c r="O534" s="117"/>
      <c r="P534" s="117"/>
      <c r="Q534" s="117"/>
      <c r="R534" s="117"/>
      <c r="S534" s="117"/>
      <c r="T534" s="117"/>
      <c r="U534" s="117"/>
    </row>
    <row r="535" spans="2:21" ht="12.95" customHeight="1">
      <c r="B535" s="524"/>
      <c r="C535" s="117"/>
      <c r="D535" s="117"/>
      <c r="E535" s="127"/>
      <c r="F535" s="117"/>
      <c r="G535" s="117"/>
      <c r="H535" s="117"/>
      <c r="I535" s="128"/>
      <c r="J535" s="128"/>
      <c r="K535" s="128"/>
      <c r="L535" s="128"/>
      <c r="M535" s="128"/>
      <c r="N535" s="116"/>
      <c r="O535" s="116"/>
      <c r="P535" s="116"/>
      <c r="Q535" s="116"/>
      <c r="R535" s="116"/>
      <c r="S535" s="116"/>
      <c r="T535" s="116"/>
      <c r="U535" s="116"/>
    </row>
    <row r="536" spans="2:21" ht="12.95" customHeight="1">
      <c r="B536" s="524"/>
      <c r="C536" s="117"/>
      <c r="D536" s="117"/>
      <c r="E536" s="127"/>
      <c r="F536" s="117"/>
      <c r="G536" s="117"/>
      <c r="H536" s="117"/>
      <c r="I536" s="116"/>
      <c r="J536" s="116"/>
      <c r="K536" s="116"/>
      <c r="L536" s="116"/>
      <c r="M536" s="116"/>
      <c r="N536" s="116"/>
      <c r="O536" s="116"/>
      <c r="P536" s="116"/>
      <c r="Q536" s="116"/>
      <c r="R536" s="116"/>
      <c r="S536" s="116"/>
      <c r="T536" s="116"/>
      <c r="U536" s="116"/>
    </row>
    <row r="537" spans="2:21" ht="12.95" customHeight="1">
      <c r="B537" s="522"/>
      <c r="C537" s="116"/>
      <c r="D537" s="116"/>
      <c r="E537" s="127"/>
      <c r="F537" s="117"/>
      <c r="G537" s="117"/>
      <c r="H537" s="117"/>
      <c r="I537" s="116"/>
      <c r="J537" s="116"/>
      <c r="K537" s="116"/>
      <c r="L537" s="116"/>
      <c r="M537" s="116"/>
      <c r="N537" s="116"/>
      <c r="O537" s="116"/>
      <c r="P537" s="116"/>
      <c r="Q537" s="116"/>
      <c r="R537" s="116"/>
      <c r="S537" s="116"/>
      <c r="T537" s="116"/>
      <c r="U537" s="116"/>
    </row>
    <row r="538" spans="2:21" ht="12.95" customHeight="1">
      <c r="B538" s="523"/>
      <c r="C538" s="119"/>
      <c r="D538" s="119"/>
      <c r="E538" s="117"/>
      <c r="F538" s="117"/>
      <c r="G538" s="117"/>
      <c r="H538" s="117"/>
      <c r="I538" s="117"/>
      <c r="J538" s="117"/>
      <c r="K538" s="117"/>
      <c r="L538" s="117"/>
      <c r="M538" s="117"/>
      <c r="N538" s="117"/>
      <c r="O538" s="117"/>
      <c r="P538" s="117"/>
      <c r="Q538" s="117"/>
      <c r="R538" s="117"/>
      <c r="S538" s="117"/>
      <c r="T538" s="117"/>
      <c r="U538" s="117"/>
    </row>
    <row r="539" spans="2:21" ht="12.95" customHeight="1">
      <c r="B539" s="524"/>
      <c r="C539" s="119"/>
      <c r="D539" s="119"/>
      <c r="E539" s="117"/>
      <c r="F539" s="116"/>
      <c r="G539" s="116"/>
      <c r="H539" s="116"/>
      <c r="I539" s="117"/>
      <c r="J539" s="117"/>
      <c r="K539" s="117"/>
      <c r="L539" s="117"/>
      <c r="M539" s="117"/>
      <c r="N539" s="117"/>
      <c r="O539" s="117"/>
      <c r="P539" s="117"/>
      <c r="Q539" s="117"/>
      <c r="R539" s="117"/>
      <c r="S539" s="117"/>
      <c r="T539" s="117"/>
      <c r="U539" s="117"/>
    </row>
    <row r="540" spans="2:21" ht="12.95" customHeight="1">
      <c r="B540" s="523"/>
      <c r="C540" s="119"/>
      <c r="D540" s="119"/>
      <c r="E540" s="117"/>
      <c r="F540" s="117"/>
      <c r="G540" s="117"/>
      <c r="H540" s="117"/>
      <c r="I540" s="116"/>
      <c r="J540" s="116"/>
      <c r="K540" s="116"/>
      <c r="L540" s="116"/>
      <c r="M540" s="116"/>
      <c r="N540" s="116"/>
      <c r="O540" s="116"/>
      <c r="P540" s="116"/>
      <c r="Q540" s="116"/>
      <c r="R540" s="116"/>
      <c r="S540" s="116"/>
      <c r="T540" s="116"/>
      <c r="U540" s="116"/>
    </row>
    <row r="541" spans="2:21" ht="12.95" customHeight="1">
      <c r="B541" s="524"/>
      <c r="C541" s="119"/>
      <c r="D541" s="119"/>
      <c r="E541" s="117"/>
      <c r="F541" s="117"/>
      <c r="G541" s="117"/>
      <c r="H541" s="117"/>
      <c r="I541" s="116"/>
      <c r="J541" s="116"/>
      <c r="K541" s="116"/>
      <c r="L541" s="116"/>
      <c r="M541" s="116"/>
      <c r="N541" s="116"/>
      <c r="O541" s="116"/>
      <c r="P541" s="116"/>
      <c r="Q541" s="116"/>
      <c r="R541" s="116"/>
      <c r="S541" s="116"/>
      <c r="T541" s="116"/>
      <c r="U541" s="116"/>
    </row>
    <row r="542" spans="2:21" ht="12.95" customHeight="1">
      <c r="B542" s="524"/>
      <c r="C542" s="119"/>
      <c r="D542" s="119"/>
      <c r="E542" s="119"/>
      <c r="F542" s="117"/>
      <c r="G542" s="117"/>
      <c r="H542" s="117"/>
      <c r="I542" s="116"/>
      <c r="J542" s="116"/>
      <c r="K542" s="116"/>
      <c r="L542" s="116"/>
      <c r="M542" s="116"/>
      <c r="N542" s="116"/>
      <c r="O542" s="116"/>
      <c r="P542" s="116"/>
      <c r="Q542" s="116"/>
      <c r="R542" s="116"/>
      <c r="S542" s="116"/>
      <c r="T542" s="116"/>
      <c r="U542" s="116"/>
    </row>
    <row r="543" spans="2:21" ht="12.95" customHeight="1">
      <c r="B543" s="524"/>
      <c r="C543" s="118"/>
      <c r="D543" s="118"/>
      <c r="E543" s="117"/>
      <c r="F543" s="117"/>
      <c r="G543" s="117"/>
      <c r="H543" s="117"/>
      <c r="I543" s="117"/>
      <c r="J543" s="117"/>
      <c r="K543" s="117"/>
      <c r="L543" s="117"/>
      <c r="M543" s="117"/>
      <c r="N543" s="117"/>
      <c r="O543" s="117"/>
      <c r="P543" s="117"/>
      <c r="Q543" s="117"/>
      <c r="R543" s="117"/>
      <c r="S543" s="117"/>
      <c r="T543" s="117"/>
      <c r="U543" s="117"/>
    </row>
    <row r="544" spans="2:21" ht="12.95" customHeight="1">
      <c r="B544" s="522"/>
      <c r="C544" s="116"/>
      <c r="D544" s="116"/>
      <c r="E544" s="117"/>
      <c r="F544" s="116"/>
      <c r="G544" s="116"/>
      <c r="H544" s="116"/>
      <c r="I544" s="117"/>
      <c r="J544" s="117"/>
      <c r="K544" s="117"/>
      <c r="L544" s="117"/>
      <c r="M544" s="117"/>
      <c r="N544" s="116"/>
      <c r="O544" s="116"/>
      <c r="P544" s="116"/>
      <c r="Q544" s="116"/>
      <c r="R544" s="116"/>
      <c r="S544" s="116"/>
      <c r="T544" s="116"/>
      <c r="U544" s="116"/>
    </row>
    <row r="545" spans="2:21" ht="12.95" customHeight="1">
      <c r="B545" s="523"/>
      <c r="C545" s="119"/>
      <c r="D545" s="119"/>
      <c r="E545" s="117"/>
      <c r="F545" s="117"/>
      <c r="G545" s="117"/>
      <c r="H545" s="117"/>
      <c r="I545" s="116"/>
      <c r="J545" s="116"/>
      <c r="K545" s="116"/>
      <c r="L545" s="116"/>
      <c r="M545" s="116"/>
      <c r="N545" s="116"/>
      <c r="O545" s="116"/>
      <c r="P545" s="116"/>
      <c r="Q545" s="116"/>
      <c r="R545" s="116"/>
      <c r="S545" s="116"/>
      <c r="T545" s="116"/>
      <c r="U545" s="116"/>
    </row>
    <row r="546" spans="2:21" ht="12.95" customHeight="1">
      <c r="B546" s="524"/>
      <c r="C546" s="119"/>
      <c r="D546" s="119"/>
      <c r="E546" s="117"/>
      <c r="F546" s="117"/>
      <c r="G546" s="117"/>
      <c r="H546" s="117"/>
      <c r="I546" s="116"/>
      <c r="J546" s="116"/>
      <c r="K546" s="116"/>
      <c r="L546" s="116"/>
      <c r="M546" s="116"/>
      <c r="N546" s="116"/>
      <c r="O546" s="116"/>
      <c r="P546" s="116"/>
      <c r="Q546" s="116"/>
      <c r="R546" s="116"/>
      <c r="S546" s="116"/>
      <c r="T546" s="116"/>
      <c r="U546" s="116"/>
    </row>
    <row r="547" spans="2:21" ht="12.95" customHeight="1">
      <c r="B547" s="524"/>
      <c r="C547" s="119"/>
      <c r="D547" s="119"/>
      <c r="E547" s="119"/>
      <c r="F547" s="117"/>
      <c r="G547" s="117"/>
      <c r="H547" s="117"/>
      <c r="I547" s="116"/>
      <c r="J547" s="116"/>
      <c r="K547" s="116"/>
      <c r="L547" s="116"/>
      <c r="M547" s="116"/>
      <c r="N547" s="116"/>
      <c r="O547" s="116"/>
      <c r="P547" s="116"/>
      <c r="Q547" s="116"/>
      <c r="R547" s="116"/>
      <c r="S547" s="116"/>
      <c r="T547" s="116"/>
      <c r="U547" s="116"/>
    </row>
    <row r="548" spans="2:21" ht="12.95" customHeight="1">
      <c r="B548" s="524"/>
      <c r="C548" s="118"/>
      <c r="D548" s="118"/>
      <c r="E548" s="117"/>
      <c r="F548" s="117"/>
      <c r="G548" s="117"/>
      <c r="H548" s="117"/>
      <c r="I548" s="117"/>
      <c r="J548" s="117"/>
      <c r="K548" s="117"/>
      <c r="L548" s="117"/>
      <c r="M548" s="117"/>
      <c r="N548" s="116"/>
      <c r="O548" s="116"/>
      <c r="P548" s="116"/>
      <c r="Q548" s="116"/>
      <c r="R548" s="116"/>
      <c r="S548" s="116"/>
      <c r="T548" s="116"/>
      <c r="U548" s="116"/>
    </row>
    <row r="549" spans="2:21" ht="12.95" customHeight="1">
      <c r="B549" s="522"/>
      <c r="C549" s="116"/>
      <c r="D549" s="116"/>
      <c r="E549" s="116"/>
      <c r="F549" s="116"/>
      <c r="G549" s="116"/>
      <c r="H549" s="116"/>
      <c r="I549" s="116"/>
      <c r="J549" s="116"/>
      <c r="K549" s="116"/>
      <c r="L549" s="116"/>
      <c r="M549" s="116"/>
      <c r="N549" s="116"/>
      <c r="O549" s="116"/>
      <c r="P549" s="116"/>
      <c r="Q549" s="116"/>
      <c r="R549" s="116"/>
      <c r="S549" s="116"/>
      <c r="T549" s="116"/>
      <c r="U549" s="116"/>
    </row>
    <row r="550" spans="2:21" ht="12.95" customHeight="1">
      <c r="B550" s="523"/>
      <c r="C550" s="119"/>
      <c r="D550" s="119"/>
      <c r="E550" s="116"/>
      <c r="F550" s="116"/>
      <c r="G550" s="116"/>
      <c r="H550" s="116"/>
      <c r="I550" s="116"/>
      <c r="J550" s="116"/>
      <c r="K550" s="116"/>
      <c r="L550" s="116"/>
      <c r="M550" s="116"/>
      <c r="N550" s="116"/>
      <c r="O550" s="116"/>
      <c r="P550" s="116"/>
      <c r="Q550" s="116"/>
      <c r="R550" s="116"/>
      <c r="S550" s="116"/>
      <c r="T550" s="116"/>
      <c r="U550" s="116"/>
    </row>
    <row r="551" spans="2:21" ht="12.95" customHeight="1">
      <c r="B551" s="524"/>
      <c r="C551" s="119"/>
      <c r="D551" s="119"/>
      <c r="E551" s="116"/>
      <c r="F551" s="116"/>
      <c r="G551" s="116"/>
      <c r="H551" s="116"/>
      <c r="I551" s="116"/>
      <c r="J551" s="116"/>
      <c r="K551" s="116"/>
      <c r="L551" s="116"/>
      <c r="M551" s="116"/>
      <c r="N551" s="116"/>
      <c r="O551" s="116"/>
      <c r="P551" s="116"/>
      <c r="Q551" s="116"/>
      <c r="R551" s="116"/>
      <c r="S551" s="116"/>
      <c r="T551" s="116"/>
      <c r="U551" s="116"/>
    </row>
    <row r="552" spans="2:21" ht="12.95" customHeight="1">
      <c r="B552" s="524"/>
      <c r="C552" s="119"/>
      <c r="D552" s="119"/>
      <c r="E552" s="116"/>
      <c r="F552" s="116"/>
      <c r="G552" s="116"/>
      <c r="H552" s="116"/>
      <c r="I552" s="116"/>
      <c r="J552" s="116"/>
      <c r="K552" s="116"/>
      <c r="L552" s="116"/>
      <c r="M552" s="116"/>
      <c r="N552" s="116"/>
      <c r="O552" s="116"/>
      <c r="P552" s="116"/>
      <c r="Q552" s="116"/>
      <c r="R552" s="116"/>
      <c r="S552" s="116"/>
      <c r="T552" s="116"/>
      <c r="U552" s="116"/>
    </row>
    <row r="553" spans="2:21" ht="12.95" customHeight="1">
      <c r="B553" s="524"/>
      <c r="C553" s="118"/>
      <c r="D553" s="118"/>
      <c r="E553" s="116"/>
      <c r="F553" s="116"/>
      <c r="G553" s="116"/>
      <c r="H553" s="116"/>
      <c r="I553" s="116"/>
      <c r="J553" s="116"/>
      <c r="K553" s="116"/>
      <c r="L553" s="116"/>
      <c r="M553" s="116"/>
      <c r="N553" s="116"/>
      <c r="O553" s="116"/>
      <c r="P553" s="116"/>
      <c r="Q553" s="116"/>
      <c r="R553" s="116"/>
      <c r="S553" s="116"/>
      <c r="T553" s="116"/>
      <c r="U553" s="116"/>
    </row>
    <row r="554" spans="2:21" ht="12.95" customHeight="1">
      <c r="B554" s="522"/>
      <c r="C554" s="116"/>
      <c r="D554" s="116"/>
      <c r="E554" s="116"/>
      <c r="F554" s="116"/>
      <c r="G554" s="116"/>
      <c r="H554" s="116"/>
      <c r="I554" s="116"/>
      <c r="J554" s="116"/>
      <c r="K554" s="116"/>
      <c r="L554" s="116"/>
      <c r="M554" s="116"/>
      <c r="N554" s="116"/>
      <c r="O554" s="116"/>
      <c r="P554" s="116"/>
      <c r="Q554" s="116"/>
      <c r="R554" s="116"/>
      <c r="S554" s="116"/>
      <c r="T554" s="116"/>
      <c r="U554" s="116"/>
    </row>
    <row r="555" spans="2:21" ht="12.95" customHeight="1">
      <c r="B555" s="522"/>
      <c r="C555" s="116"/>
      <c r="D555" s="116"/>
      <c r="E555" s="116"/>
      <c r="F555" s="116"/>
      <c r="G555" s="116"/>
      <c r="H555" s="116"/>
      <c r="I555" s="116"/>
      <c r="J555" s="116"/>
      <c r="K555" s="116"/>
      <c r="L555" s="116"/>
      <c r="M555" s="116"/>
      <c r="N555" s="116"/>
      <c r="O555" s="116"/>
      <c r="P555" s="116"/>
      <c r="Q555" s="116"/>
      <c r="R555" s="116"/>
      <c r="S555" s="116"/>
      <c r="T555" s="116"/>
      <c r="U555" s="116"/>
    </row>
    <row r="556" spans="2:21" ht="12.95" customHeight="1">
      <c r="B556" s="522"/>
      <c r="C556" s="116"/>
      <c r="D556" s="116"/>
      <c r="E556" s="116"/>
      <c r="F556" s="116"/>
      <c r="G556" s="116"/>
      <c r="H556" s="116"/>
      <c r="I556" s="116"/>
      <c r="J556" s="116"/>
      <c r="K556" s="116"/>
      <c r="L556" s="116"/>
      <c r="M556" s="116"/>
      <c r="N556" s="116"/>
      <c r="O556" s="116"/>
      <c r="P556" s="116"/>
      <c r="Q556" s="116"/>
      <c r="R556" s="116"/>
      <c r="S556" s="116"/>
      <c r="T556" s="116"/>
      <c r="U556" s="116"/>
    </row>
    <row r="557" spans="2:21" ht="12.95" customHeight="1">
      <c r="B557" s="522"/>
      <c r="C557" s="116"/>
      <c r="D557" s="116"/>
      <c r="E557" s="116"/>
      <c r="F557" s="116"/>
      <c r="G557" s="116"/>
      <c r="H557" s="116"/>
      <c r="I557" s="116"/>
      <c r="J557" s="116"/>
      <c r="K557" s="116"/>
      <c r="L557" s="116"/>
      <c r="M557" s="116"/>
      <c r="N557" s="116"/>
      <c r="O557" s="116"/>
      <c r="P557" s="116"/>
      <c r="Q557" s="116"/>
      <c r="R557" s="116"/>
      <c r="S557" s="116"/>
      <c r="T557" s="116"/>
      <c r="U557" s="116"/>
    </row>
    <row r="558" spans="2:21" ht="12.95" customHeight="1">
      <c r="B558" s="522"/>
      <c r="C558" s="116"/>
      <c r="D558" s="116"/>
      <c r="E558" s="116"/>
      <c r="F558" s="116"/>
      <c r="G558" s="116"/>
      <c r="H558" s="116"/>
      <c r="I558" s="116"/>
      <c r="J558" s="116"/>
      <c r="K558" s="116"/>
      <c r="L558" s="116"/>
      <c r="M558" s="116"/>
      <c r="N558" s="116"/>
      <c r="O558" s="116"/>
      <c r="P558" s="116"/>
      <c r="Q558" s="116"/>
      <c r="R558" s="116"/>
      <c r="S558" s="116"/>
      <c r="T558" s="116"/>
      <c r="U558" s="116"/>
    </row>
    <row r="559" spans="2:21" ht="12.95" customHeight="1">
      <c r="B559" s="522"/>
      <c r="C559" s="116"/>
      <c r="D559" s="116"/>
      <c r="E559" s="116"/>
      <c r="F559" s="116"/>
      <c r="G559" s="116"/>
      <c r="H559" s="116"/>
      <c r="I559" s="116"/>
      <c r="J559" s="116"/>
      <c r="K559" s="116"/>
      <c r="L559" s="116"/>
      <c r="M559" s="116"/>
      <c r="N559" s="116"/>
      <c r="O559" s="116"/>
      <c r="P559" s="116"/>
      <c r="Q559" s="116"/>
      <c r="R559" s="116"/>
      <c r="S559" s="116"/>
      <c r="T559" s="116"/>
      <c r="U559" s="116"/>
    </row>
    <row r="560" spans="2:21" ht="12.95" customHeight="1">
      <c r="B560" s="522"/>
      <c r="C560" s="116"/>
      <c r="D560" s="116"/>
      <c r="E560" s="116"/>
      <c r="F560" s="116"/>
      <c r="G560" s="116"/>
      <c r="H560" s="116"/>
      <c r="I560" s="116"/>
      <c r="J560" s="116"/>
      <c r="K560" s="116"/>
      <c r="L560" s="116"/>
      <c r="M560" s="116"/>
      <c r="N560" s="116"/>
      <c r="O560" s="116"/>
      <c r="P560" s="116"/>
      <c r="Q560" s="116"/>
      <c r="R560" s="116"/>
      <c r="S560" s="116"/>
      <c r="T560" s="116"/>
      <c r="U560" s="116"/>
    </row>
    <row r="561" spans="2:21" ht="12.95" customHeight="1">
      <c r="B561" s="522"/>
      <c r="C561" s="116"/>
      <c r="D561" s="116"/>
      <c r="E561" s="116"/>
      <c r="F561" s="116"/>
      <c r="G561" s="116"/>
      <c r="H561" s="116"/>
      <c r="I561" s="116"/>
      <c r="J561" s="116"/>
      <c r="K561" s="116"/>
      <c r="L561" s="116"/>
      <c r="M561" s="116"/>
      <c r="N561" s="116"/>
      <c r="O561" s="116"/>
      <c r="P561" s="116"/>
      <c r="Q561" s="116"/>
      <c r="R561" s="116"/>
      <c r="S561" s="116"/>
      <c r="T561" s="116"/>
      <c r="U561" s="116"/>
    </row>
    <row r="562" spans="2:21" ht="12.95" customHeight="1">
      <c r="B562" s="522"/>
      <c r="C562" s="116"/>
      <c r="D562" s="116"/>
      <c r="E562" s="116"/>
      <c r="F562" s="116"/>
      <c r="G562" s="116"/>
      <c r="H562" s="116"/>
      <c r="I562" s="116"/>
      <c r="J562" s="116"/>
      <c r="K562" s="116"/>
      <c r="L562" s="116"/>
      <c r="M562" s="116"/>
      <c r="N562" s="116"/>
      <c r="O562" s="116"/>
      <c r="P562" s="116"/>
      <c r="Q562" s="116"/>
      <c r="R562" s="116"/>
      <c r="S562" s="116"/>
      <c r="T562" s="116"/>
      <c r="U562" s="116"/>
    </row>
    <row r="563" spans="2:21" ht="12.95" customHeight="1">
      <c r="B563" s="522"/>
      <c r="C563" s="116"/>
      <c r="D563" s="116"/>
      <c r="E563" s="116"/>
      <c r="F563" s="116"/>
      <c r="G563" s="116"/>
      <c r="H563" s="116"/>
      <c r="I563" s="116"/>
      <c r="J563" s="116"/>
      <c r="K563" s="116"/>
      <c r="L563" s="116"/>
      <c r="M563" s="116"/>
      <c r="N563" s="116"/>
      <c r="O563" s="116"/>
      <c r="P563" s="116"/>
      <c r="Q563" s="116"/>
      <c r="R563" s="116"/>
      <c r="S563" s="116"/>
      <c r="T563" s="116"/>
      <c r="U563" s="116"/>
    </row>
    <row r="564" spans="2:21" ht="12.95" customHeight="1">
      <c r="B564" s="522"/>
      <c r="C564" s="116"/>
      <c r="D564" s="116"/>
      <c r="E564" s="116"/>
      <c r="F564" s="116"/>
      <c r="G564" s="116"/>
      <c r="H564" s="116"/>
      <c r="I564" s="116"/>
      <c r="J564" s="116"/>
      <c r="K564" s="116"/>
      <c r="L564" s="116"/>
      <c r="M564" s="116"/>
      <c r="N564" s="116"/>
      <c r="O564" s="116"/>
      <c r="P564" s="116"/>
      <c r="Q564" s="116"/>
      <c r="R564" s="116"/>
      <c r="S564" s="116"/>
      <c r="T564" s="116"/>
      <c r="U564" s="116"/>
    </row>
    <row r="565" spans="2:21" ht="12.95" customHeight="1">
      <c r="B565" s="522"/>
      <c r="C565" s="116"/>
      <c r="D565" s="116"/>
      <c r="E565" s="116"/>
      <c r="F565" s="116"/>
      <c r="G565" s="116"/>
      <c r="H565" s="116"/>
      <c r="I565" s="116"/>
      <c r="J565" s="116"/>
      <c r="K565" s="116"/>
      <c r="L565" s="116"/>
      <c r="M565" s="116"/>
      <c r="N565" s="116"/>
      <c r="O565" s="116"/>
      <c r="P565" s="116"/>
      <c r="Q565" s="116"/>
      <c r="R565" s="116"/>
      <c r="S565" s="116"/>
      <c r="T565" s="116"/>
      <c r="U565" s="116"/>
    </row>
    <row r="566" spans="2:21" ht="12.95" customHeight="1">
      <c r="B566" s="522"/>
      <c r="C566" s="116"/>
      <c r="D566" s="116"/>
      <c r="E566" s="116"/>
      <c r="F566" s="116"/>
      <c r="G566" s="116"/>
      <c r="H566" s="116"/>
      <c r="I566" s="116"/>
      <c r="J566" s="116"/>
      <c r="K566" s="116"/>
      <c r="L566" s="116"/>
      <c r="M566" s="116"/>
      <c r="N566" s="116"/>
      <c r="O566" s="116"/>
      <c r="P566" s="116"/>
      <c r="Q566" s="116"/>
      <c r="R566" s="116"/>
      <c r="S566" s="116"/>
      <c r="T566" s="116"/>
      <c r="U566" s="116"/>
    </row>
    <row r="567" spans="2:21" ht="12.95" customHeight="1">
      <c r="B567" s="522"/>
      <c r="C567" s="116"/>
      <c r="D567" s="116"/>
      <c r="E567" s="116"/>
      <c r="F567" s="116"/>
      <c r="G567" s="116"/>
      <c r="H567" s="116"/>
      <c r="I567" s="116"/>
      <c r="J567" s="116"/>
      <c r="K567" s="116"/>
      <c r="L567" s="116"/>
      <c r="M567" s="116"/>
      <c r="N567" s="116"/>
      <c r="O567" s="116"/>
      <c r="P567" s="116"/>
      <c r="Q567" s="116"/>
      <c r="R567" s="116"/>
      <c r="S567" s="116"/>
      <c r="T567" s="116"/>
      <c r="U567" s="116"/>
    </row>
    <row r="568" spans="2:21" ht="12.95" customHeight="1">
      <c r="B568" s="522"/>
      <c r="C568" s="116"/>
      <c r="D568" s="116"/>
      <c r="E568" s="116"/>
      <c r="F568" s="116"/>
      <c r="G568" s="116"/>
      <c r="H568" s="116"/>
      <c r="I568" s="116"/>
      <c r="J568" s="116"/>
      <c r="K568" s="116"/>
      <c r="L568" s="116"/>
      <c r="M568" s="116"/>
      <c r="N568" s="116"/>
      <c r="O568" s="116"/>
      <c r="P568" s="116"/>
      <c r="Q568" s="116"/>
      <c r="R568" s="116"/>
      <c r="S568" s="116"/>
      <c r="T568" s="116"/>
      <c r="U568" s="116"/>
    </row>
    <row r="569" spans="2:21" ht="12.95" customHeight="1">
      <c r="B569" s="522"/>
      <c r="C569" s="116"/>
      <c r="D569" s="116"/>
      <c r="E569" s="116"/>
      <c r="F569" s="116"/>
      <c r="G569" s="116"/>
      <c r="H569" s="116"/>
      <c r="I569" s="116"/>
      <c r="J569" s="116"/>
      <c r="K569" s="116"/>
      <c r="L569" s="116"/>
      <c r="M569" s="116"/>
      <c r="N569" s="116"/>
      <c r="O569" s="116"/>
      <c r="P569" s="116"/>
      <c r="Q569" s="116"/>
      <c r="R569" s="116"/>
      <c r="S569" s="116"/>
      <c r="T569" s="116"/>
      <c r="U569" s="116"/>
    </row>
    <row r="570" spans="2:21" ht="12.95" customHeight="1">
      <c r="B570" s="522"/>
      <c r="C570" s="116"/>
      <c r="D570" s="116"/>
      <c r="E570" s="116"/>
      <c r="F570" s="116"/>
      <c r="G570" s="116"/>
      <c r="H570" s="116"/>
      <c r="I570" s="116"/>
      <c r="J570" s="116"/>
      <c r="K570" s="116"/>
      <c r="L570" s="116"/>
      <c r="M570" s="116"/>
      <c r="N570" s="116"/>
      <c r="O570" s="116"/>
      <c r="P570" s="116"/>
      <c r="Q570" s="116"/>
      <c r="R570" s="116"/>
      <c r="S570" s="116"/>
      <c r="T570" s="116"/>
      <c r="U570" s="116"/>
    </row>
    <row r="571" spans="2:21" ht="12.95" customHeight="1">
      <c r="B571" s="522"/>
      <c r="C571" s="116"/>
      <c r="D571" s="116"/>
      <c r="E571" s="116"/>
      <c r="F571" s="116"/>
      <c r="G571" s="116"/>
      <c r="H571" s="116"/>
      <c r="I571" s="116"/>
      <c r="J571" s="116"/>
      <c r="K571" s="116"/>
      <c r="L571" s="116"/>
      <c r="M571" s="116"/>
      <c r="N571" s="116"/>
      <c r="O571" s="116"/>
      <c r="P571" s="116"/>
      <c r="Q571" s="116"/>
      <c r="R571" s="116"/>
      <c r="S571" s="116"/>
      <c r="T571" s="116"/>
      <c r="U571" s="116"/>
    </row>
    <row r="572" spans="2:21" ht="12.95" customHeight="1">
      <c r="B572" s="522"/>
      <c r="C572" s="116"/>
      <c r="D572" s="116"/>
      <c r="E572" s="116"/>
      <c r="F572" s="116"/>
      <c r="G572" s="116"/>
      <c r="H572" s="116"/>
      <c r="I572" s="116"/>
      <c r="J572" s="116"/>
      <c r="K572" s="116"/>
      <c r="L572" s="116"/>
      <c r="M572" s="116"/>
      <c r="N572" s="116"/>
      <c r="O572" s="116"/>
      <c r="P572" s="116"/>
      <c r="Q572" s="116"/>
      <c r="R572" s="116"/>
      <c r="S572" s="116"/>
      <c r="T572" s="116"/>
      <c r="U572" s="116"/>
    </row>
    <row r="573" spans="2:21" ht="12.95" customHeight="1">
      <c r="B573" s="522"/>
      <c r="C573" s="116"/>
      <c r="D573" s="116"/>
      <c r="E573" s="116"/>
      <c r="F573" s="116"/>
      <c r="G573" s="116"/>
      <c r="H573" s="116"/>
      <c r="I573" s="116"/>
      <c r="J573" s="116"/>
      <c r="K573" s="116"/>
      <c r="L573" s="116"/>
      <c r="M573" s="116"/>
      <c r="N573" s="116"/>
      <c r="O573" s="116"/>
      <c r="P573" s="116"/>
      <c r="Q573" s="116"/>
      <c r="R573" s="116"/>
      <c r="S573" s="116"/>
      <c r="T573" s="116"/>
      <c r="U573" s="116"/>
    </row>
    <row r="574" spans="2:21" ht="12.95" customHeight="1">
      <c r="B574" s="522"/>
      <c r="C574" s="116"/>
      <c r="D574" s="116"/>
      <c r="E574" s="116"/>
      <c r="F574" s="116"/>
      <c r="G574" s="116"/>
      <c r="H574" s="116"/>
      <c r="I574" s="116"/>
      <c r="J574" s="116"/>
      <c r="K574" s="116"/>
      <c r="L574" s="116"/>
      <c r="M574" s="116"/>
      <c r="N574" s="116"/>
      <c r="O574" s="116"/>
      <c r="P574" s="116"/>
      <c r="Q574" s="116"/>
      <c r="R574" s="116"/>
      <c r="S574" s="116"/>
      <c r="T574" s="116"/>
      <c r="U574" s="116"/>
    </row>
    <row r="575" spans="2:21" ht="12.95" customHeight="1">
      <c r="B575" s="522"/>
      <c r="C575" s="116"/>
      <c r="D575" s="116"/>
      <c r="E575" s="116"/>
      <c r="F575" s="116"/>
      <c r="G575" s="116"/>
      <c r="H575" s="116"/>
      <c r="I575" s="116"/>
      <c r="J575" s="116"/>
      <c r="K575" s="116"/>
      <c r="L575" s="116"/>
      <c r="M575" s="116"/>
      <c r="N575" s="116"/>
      <c r="O575" s="116"/>
      <c r="P575" s="116"/>
      <c r="Q575" s="116"/>
      <c r="R575" s="116"/>
      <c r="S575" s="116"/>
      <c r="T575" s="116"/>
      <c r="U575" s="116"/>
    </row>
    <row r="576" spans="2:21" ht="12.95" customHeight="1">
      <c r="B576" s="522"/>
      <c r="C576" s="116"/>
      <c r="D576" s="116"/>
      <c r="E576" s="116"/>
      <c r="F576" s="116"/>
      <c r="G576" s="116"/>
      <c r="H576" s="116"/>
      <c r="I576" s="116"/>
      <c r="J576" s="116"/>
      <c r="K576" s="116"/>
      <c r="L576" s="116"/>
      <c r="M576" s="116"/>
      <c r="N576" s="116"/>
      <c r="O576" s="116"/>
      <c r="P576" s="116"/>
      <c r="Q576" s="116"/>
      <c r="R576" s="116"/>
      <c r="S576" s="116"/>
      <c r="T576" s="116"/>
      <c r="U576" s="116"/>
    </row>
    <row r="577" spans="2:21" ht="12.95" customHeight="1">
      <c r="B577" s="522"/>
      <c r="C577" s="116"/>
      <c r="D577" s="116"/>
      <c r="E577" s="116"/>
      <c r="F577" s="116"/>
      <c r="G577" s="116"/>
      <c r="H577" s="116"/>
      <c r="I577" s="116"/>
      <c r="J577" s="116"/>
      <c r="K577" s="116"/>
      <c r="L577" s="116"/>
      <c r="M577" s="116"/>
      <c r="N577" s="116"/>
      <c r="O577" s="116"/>
      <c r="P577" s="116"/>
      <c r="Q577" s="116"/>
      <c r="R577" s="116"/>
      <c r="S577" s="116"/>
      <c r="T577" s="116"/>
      <c r="U577" s="116"/>
    </row>
    <row r="578" spans="2:21" ht="12.95" customHeight="1">
      <c r="B578" s="522"/>
      <c r="C578" s="116"/>
      <c r="D578" s="116"/>
      <c r="E578" s="116"/>
      <c r="F578" s="116"/>
      <c r="G578" s="116"/>
      <c r="H578" s="116"/>
      <c r="I578" s="116"/>
      <c r="J578" s="116"/>
      <c r="K578" s="116"/>
      <c r="L578" s="116"/>
      <c r="M578" s="116"/>
      <c r="N578" s="116"/>
      <c r="O578" s="116"/>
      <c r="P578" s="116"/>
      <c r="Q578" s="116"/>
      <c r="R578" s="116"/>
      <c r="S578" s="116"/>
      <c r="T578" s="116"/>
      <c r="U578" s="116"/>
    </row>
    <row r="579" spans="2:21" ht="12.95" customHeight="1">
      <c r="B579" s="522"/>
      <c r="C579" s="116"/>
      <c r="D579" s="116"/>
      <c r="E579" s="116"/>
      <c r="F579" s="116"/>
      <c r="G579" s="116"/>
      <c r="H579" s="116"/>
      <c r="I579" s="116"/>
      <c r="J579" s="116"/>
      <c r="K579" s="116"/>
      <c r="L579" s="116"/>
      <c r="M579" s="116"/>
      <c r="N579" s="116"/>
      <c r="O579" s="116"/>
      <c r="P579" s="116"/>
      <c r="Q579" s="116"/>
      <c r="R579" s="116"/>
      <c r="S579" s="116"/>
      <c r="T579" s="116"/>
      <c r="U579" s="116"/>
    </row>
    <row r="580" spans="2:21" ht="12.95" customHeight="1">
      <c r="B580" s="522"/>
      <c r="C580" s="116"/>
      <c r="D580" s="116"/>
      <c r="E580" s="116"/>
      <c r="F580" s="116"/>
      <c r="G580" s="116"/>
      <c r="H580" s="116"/>
      <c r="I580" s="116"/>
      <c r="J580" s="116"/>
      <c r="K580" s="116"/>
      <c r="L580" s="116"/>
      <c r="M580" s="116"/>
      <c r="N580" s="116"/>
      <c r="O580" s="116"/>
      <c r="P580" s="116"/>
      <c r="Q580" s="116"/>
      <c r="R580" s="116"/>
      <c r="S580" s="116"/>
      <c r="T580" s="116"/>
      <c r="U580" s="116"/>
    </row>
    <row r="581" spans="2:21" ht="12.95" customHeight="1">
      <c r="B581" s="522"/>
      <c r="C581" s="116"/>
      <c r="D581" s="116"/>
      <c r="E581" s="116"/>
      <c r="F581" s="116"/>
      <c r="G581" s="116"/>
      <c r="H581" s="116"/>
      <c r="I581" s="116"/>
      <c r="J581" s="116"/>
      <c r="K581" s="116"/>
      <c r="L581" s="116"/>
      <c r="M581" s="116"/>
      <c r="N581" s="116"/>
      <c r="O581" s="116"/>
      <c r="P581" s="116"/>
      <c r="Q581" s="116"/>
      <c r="R581" s="116"/>
      <c r="S581" s="116"/>
      <c r="T581" s="116"/>
      <c r="U581" s="116"/>
    </row>
    <row r="582" spans="2:21" ht="12.95" customHeight="1">
      <c r="B582" s="522"/>
      <c r="C582" s="116"/>
      <c r="D582" s="116"/>
      <c r="E582" s="116"/>
      <c r="F582" s="116"/>
      <c r="G582" s="116"/>
      <c r="H582" s="116"/>
      <c r="I582" s="116"/>
      <c r="J582" s="116"/>
      <c r="K582" s="116"/>
      <c r="L582" s="116"/>
      <c r="M582" s="116"/>
      <c r="N582" s="116"/>
      <c r="O582" s="116"/>
      <c r="P582" s="116"/>
      <c r="Q582" s="116"/>
      <c r="R582" s="116"/>
      <c r="S582" s="116"/>
      <c r="T582" s="116"/>
      <c r="U582" s="116"/>
    </row>
    <row r="583" spans="2:21" ht="12.95" customHeight="1">
      <c r="B583" s="522"/>
      <c r="C583" s="116"/>
      <c r="D583" s="116"/>
      <c r="E583" s="116"/>
      <c r="F583" s="116"/>
      <c r="G583" s="116"/>
      <c r="H583" s="116"/>
      <c r="I583" s="116"/>
      <c r="J583" s="116"/>
      <c r="K583" s="116"/>
      <c r="L583" s="116"/>
      <c r="M583" s="116"/>
      <c r="N583" s="116"/>
      <c r="O583" s="116"/>
      <c r="P583" s="116"/>
      <c r="Q583" s="116"/>
      <c r="R583" s="116"/>
      <c r="S583" s="116"/>
      <c r="T583" s="116"/>
      <c r="U583" s="116"/>
    </row>
    <row r="584" spans="2:21" ht="12.95" customHeight="1">
      <c r="B584" s="522"/>
      <c r="C584" s="116"/>
      <c r="D584" s="116"/>
      <c r="E584" s="116"/>
      <c r="F584" s="116"/>
      <c r="G584" s="116"/>
      <c r="H584" s="116"/>
      <c r="I584" s="116"/>
      <c r="J584" s="116"/>
      <c r="K584" s="116"/>
      <c r="L584" s="116"/>
      <c r="M584" s="116"/>
      <c r="N584" s="116"/>
      <c r="O584" s="116"/>
      <c r="P584" s="116"/>
      <c r="Q584" s="116"/>
      <c r="R584" s="116"/>
      <c r="S584" s="116"/>
      <c r="T584" s="116"/>
      <c r="U584" s="116"/>
    </row>
    <row r="585" spans="2:21" ht="12.95" customHeight="1">
      <c r="B585" s="522"/>
      <c r="C585" s="116"/>
      <c r="D585" s="116"/>
      <c r="E585" s="116"/>
      <c r="F585" s="116"/>
      <c r="G585" s="116"/>
      <c r="H585" s="116"/>
      <c r="I585" s="116"/>
      <c r="J585" s="116"/>
      <c r="K585" s="116"/>
      <c r="L585" s="116"/>
      <c r="M585" s="116"/>
      <c r="N585" s="116"/>
      <c r="O585" s="116"/>
      <c r="P585" s="116"/>
      <c r="Q585" s="116"/>
      <c r="R585" s="116"/>
      <c r="S585" s="116"/>
      <c r="T585" s="116"/>
      <c r="U585" s="116"/>
    </row>
    <row r="586" spans="2:21" ht="12.95" customHeight="1">
      <c r="B586" s="522"/>
      <c r="C586" s="116"/>
      <c r="D586" s="116"/>
      <c r="E586" s="116"/>
      <c r="F586" s="116"/>
      <c r="G586" s="116"/>
      <c r="H586" s="116"/>
      <c r="I586" s="116"/>
      <c r="J586" s="116"/>
      <c r="K586" s="116"/>
      <c r="L586" s="116"/>
      <c r="M586" s="116"/>
      <c r="N586" s="116"/>
      <c r="O586" s="116"/>
      <c r="P586" s="116"/>
      <c r="Q586" s="116"/>
      <c r="R586" s="116"/>
      <c r="S586" s="116"/>
      <c r="T586" s="116"/>
      <c r="U586" s="116"/>
    </row>
    <row r="587" spans="2:21" ht="12.95" customHeight="1">
      <c r="B587" s="522"/>
      <c r="C587" s="116"/>
      <c r="D587" s="116"/>
      <c r="E587" s="116"/>
      <c r="F587" s="116"/>
      <c r="G587" s="116"/>
      <c r="H587" s="116"/>
      <c r="I587" s="116"/>
      <c r="J587" s="116"/>
      <c r="K587" s="116"/>
      <c r="L587" s="116"/>
      <c r="M587" s="116"/>
      <c r="N587" s="116"/>
      <c r="O587" s="116"/>
      <c r="P587" s="116"/>
      <c r="Q587" s="116"/>
      <c r="R587" s="116"/>
      <c r="S587" s="116"/>
      <c r="T587" s="116"/>
      <c r="U587" s="116"/>
    </row>
    <row r="588" spans="2:21" ht="12.95" customHeight="1">
      <c r="B588" s="522"/>
      <c r="C588" s="116"/>
      <c r="D588" s="116"/>
      <c r="E588" s="116"/>
      <c r="F588" s="116"/>
      <c r="G588" s="116"/>
      <c r="H588" s="116"/>
      <c r="I588" s="116"/>
      <c r="J588" s="116"/>
      <c r="K588" s="116"/>
      <c r="L588" s="116"/>
      <c r="M588" s="116"/>
      <c r="N588" s="116"/>
      <c r="O588" s="116"/>
      <c r="P588" s="116"/>
      <c r="Q588" s="116"/>
      <c r="R588" s="116"/>
      <c r="S588" s="116"/>
      <c r="T588" s="116"/>
      <c r="U588" s="116"/>
    </row>
    <row r="589" spans="2:21" ht="12.95" customHeight="1">
      <c r="B589" s="522"/>
      <c r="C589" s="116"/>
      <c r="D589" s="116"/>
      <c r="E589" s="116"/>
      <c r="F589" s="116"/>
      <c r="G589" s="116"/>
      <c r="H589" s="116"/>
      <c r="I589" s="116"/>
      <c r="J589" s="116"/>
      <c r="K589" s="116"/>
      <c r="L589" s="116"/>
      <c r="M589" s="116"/>
      <c r="N589" s="116"/>
      <c r="O589" s="116"/>
      <c r="P589" s="116"/>
      <c r="Q589" s="116"/>
      <c r="R589" s="116"/>
      <c r="S589" s="116"/>
      <c r="T589" s="116"/>
      <c r="U589" s="116"/>
    </row>
    <row r="590" spans="2:21" ht="12.95" customHeight="1">
      <c r="B590" s="522"/>
      <c r="C590" s="116"/>
      <c r="D590" s="116"/>
      <c r="E590" s="116"/>
      <c r="F590" s="116"/>
      <c r="G590" s="116"/>
      <c r="H590" s="116"/>
      <c r="I590" s="116"/>
      <c r="J590" s="116"/>
      <c r="K590" s="116"/>
      <c r="L590" s="116"/>
      <c r="M590" s="116"/>
      <c r="N590" s="116"/>
      <c r="O590" s="116"/>
      <c r="P590" s="116"/>
      <c r="Q590" s="116"/>
      <c r="R590" s="116"/>
      <c r="S590" s="116"/>
      <c r="T590" s="116"/>
      <c r="U590" s="116"/>
    </row>
    <row r="591" spans="2:21" ht="12.95" customHeight="1">
      <c r="B591" s="522"/>
      <c r="C591" s="116"/>
      <c r="D591" s="116"/>
      <c r="E591" s="116"/>
      <c r="F591" s="116"/>
      <c r="G591" s="116"/>
      <c r="H591" s="116"/>
      <c r="I591" s="116"/>
      <c r="J591" s="116"/>
      <c r="K591" s="116"/>
      <c r="L591" s="116"/>
      <c r="M591" s="116"/>
      <c r="N591" s="116"/>
      <c r="O591" s="116"/>
      <c r="P591" s="116"/>
      <c r="Q591" s="116"/>
      <c r="R591" s="116"/>
      <c r="S591" s="116"/>
      <c r="T591" s="116"/>
      <c r="U591" s="116"/>
    </row>
    <row r="592" spans="2:21" ht="12.95" customHeight="1">
      <c r="B592" s="522"/>
      <c r="C592" s="116"/>
      <c r="D592" s="116"/>
      <c r="E592" s="116"/>
      <c r="F592" s="116"/>
      <c r="G592" s="116"/>
      <c r="H592" s="116"/>
      <c r="I592" s="116"/>
      <c r="J592" s="116"/>
      <c r="K592" s="116"/>
      <c r="L592" s="116"/>
      <c r="M592" s="116"/>
      <c r="N592" s="116"/>
      <c r="O592" s="116"/>
      <c r="P592" s="116"/>
      <c r="Q592" s="116"/>
      <c r="R592" s="116"/>
      <c r="S592" s="116"/>
      <c r="T592" s="116"/>
      <c r="U592" s="116"/>
    </row>
    <row r="593" spans="2:21" ht="12.95" customHeight="1">
      <c r="B593" s="522"/>
      <c r="C593" s="116"/>
      <c r="D593" s="116"/>
      <c r="E593" s="116"/>
      <c r="F593" s="116"/>
      <c r="G593" s="116"/>
      <c r="H593" s="116"/>
      <c r="I593" s="116"/>
      <c r="J593" s="116"/>
      <c r="K593" s="116"/>
      <c r="L593" s="116"/>
      <c r="M593" s="116"/>
      <c r="N593" s="116"/>
      <c r="O593" s="116"/>
      <c r="P593" s="116"/>
      <c r="Q593" s="116"/>
      <c r="R593" s="116"/>
      <c r="S593" s="116"/>
      <c r="T593" s="116"/>
      <c r="U593" s="116"/>
    </row>
    <row r="594" spans="2:21" ht="12.95" customHeight="1">
      <c r="B594" s="522"/>
      <c r="C594" s="116"/>
      <c r="D594" s="116"/>
      <c r="E594" s="116"/>
      <c r="F594" s="116"/>
      <c r="G594" s="116"/>
      <c r="H594" s="116"/>
      <c r="I594" s="116"/>
      <c r="J594" s="116"/>
      <c r="K594" s="116"/>
      <c r="L594" s="116"/>
      <c r="M594" s="116"/>
      <c r="N594" s="116"/>
      <c r="O594" s="116"/>
      <c r="P594" s="116"/>
      <c r="Q594" s="116"/>
      <c r="R594" s="116"/>
      <c r="S594" s="116"/>
      <c r="T594" s="116"/>
      <c r="U594" s="116"/>
    </row>
    <row r="595" spans="2:21" ht="12.95" customHeight="1">
      <c r="B595" s="522"/>
      <c r="C595" s="116"/>
      <c r="D595" s="116"/>
      <c r="E595" s="116"/>
      <c r="F595" s="116"/>
      <c r="G595" s="116"/>
      <c r="H595" s="116"/>
      <c r="I595" s="116"/>
      <c r="J595" s="116"/>
      <c r="K595" s="116"/>
      <c r="L595" s="116"/>
      <c r="M595" s="116"/>
      <c r="N595" s="116"/>
      <c r="O595" s="116"/>
      <c r="P595" s="116"/>
      <c r="Q595" s="116"/>
      <c r="R595" s="116"/>
      <c r="S595" s="116"/>
      <c r="T595" s="116"/>
      <c r="U595" s="116"/>
    </row>
    <row r="596" spans="2:21" ht="12.95" customHeight="1">
      <c r="B596" s="522"/>
      <c r="C596" s="116"/>
      <c r="D596" s="116"/>
      <c r="E596" s="116"/>
      <c r="F596" s="116"/>
      <c r="G596" s="116"/>
      <c r="H596" s="116"/>
      <c r="I596" s="116"/>
      <c r="J596" s="116"/>
      <c r="K596" s="116"/>
      <c r="L596" s="116"/>
      <c r="M596" s="116"/>
      <c r="N596" s="116"/>
      <c r="O596" s="116"/>
      <c r="P596" s="116"/>
      <c r="Q596" s="116"/>
      <c r="R596" s="116"/>
      <c r="S596" s="116"/>
      <c r="T596" s="116"/>
      <c r="U596" s="116"/>
    </row>
    <row r="597" spans="2:21" ht="12.95" customHeight="1">
      <c r="B597" s="522"/>
      <c r="C597" s="116"/>
      <c r="D597" s="116"/>
      <c r="E597" s="116"/>
      <c r="F597" s="116"/>
      <c r="G597" s="116"/>
      <c r="H597" s="116"/>
      <c r="I597" s="116"/>
      <c r="J597" s="116"/>
      <c r="K597" s="116"/>
      <c r="L597" s="116"/>
      <c r="M597" s="116"/>
      <c r="N597" s="116"/>
      <c r="O597" s="116"/>
      <c r="P597" s="116"/>
      <c r="Q597" s="116"/>
      <c r="R597" s="116"/>
      <c r="S597" s="116"/>
      <c r="T597" s="116"/>
      <c r="U597" s="116"/>
    </row>
    <row r="598" spans="2:21" ht="12.95" customHeight="1">
      <c r="B598" s="522"/>
      <c r="C598" s="116"/>
      <c r="D598" s="116"/>
      <c r="E598" s="116"/>
      <c r="F598" s="116"/>
      <c r="G598" s="116"/>
      <c r="H598" s="116"/>
      <c r="I598" s="116"/>
      <c r="J598" s="116"/>
      <c r="K598" s="116"/>
      <c r="L598" s="116"/>
      <c r="M598" s="116"/>
      <c r="N598" s="116"/>
      <c r="O598" s="116"/>
      <c r="P598" s="116"/>
      <c r="Q598" s="116"/>
      <c r="R598" s="116"/>
      <c r="S598" s="116"/>
      <c r="T598" s="116"/>
      <c r="U598" s="116"/>
    </row>
    <row r="599" spans="2:21" ht="12.95" customHeight="1">
      <c r="B599" s="522"/>
      <c r="C599" s="116"/>
      <c r="D599" s="116"/>
      <c r="E599" s="116"/>
      <c r="F599" s="116"/>
      <c r="G599" s="116"/>
      <c r="H599" s="116"/>
      <c r="I599" s="116"/>
      <c r="J599" s="116"/>
      <c r="K599" s="116"/>
      <c r="L599" s="116"/>
      <c r="M599" s="116"/>
      <c r="N599" s="116"/>
      <c r="O599" s="116"/>
      <c r="P599" s="116"/>
      <c r="Q599" s="116"/>
      <c r="R599" s="116"/>
      <c r="S599" s="116"/>
      <c r="T599" s="116"/>
      <c r="U599" s="116"/>
    </row>
    <row r="600" spans="2:21" ht="12.95" customHeight="1">
      <c r="B600" s="522"/>
      <c r="C600" s="116"/>
      <c r="D600" s="116"/>
      <c r="E600" s="116"/>
      <c r="F600" s="116"/>
      <c r="G600" s="116"/>
      <c r="H600" s="116"/>
      <c r="I600" s="116"/>
      <c r="J600" s="116"/>
      <c r="K600" s="116"/>
      <c r="L600" s="116"/>
      <c r="M600" s="116"/>
      <c r="N600" s="116"/>
      <c r="O600" s="116"/>
      <c r="P600" s="116"/>
      <c r="Q600" s="116"/>
      <c r="R600" s="116"/>
      <c r="S600" s="116"/>
      <c r="T600" s="116"/>
      <c r="U600" s="116"/>
    </row>
    <row r="601" spans="2:21" ht="12.95" customHeight="1">
      <c r="B601" s="522"/>
      <c r="C601" s="116"/>
      <c r="D601" s="116"/>
      <c r="E601" s="116"/>
      <c r="F601" s="116"/>
      <c r="G601" s="116"/>
      <c r="H601" s="116"/>
      <c r="I601" s="116"/>
      <c r="J601" s="116"/>
      <c r="K601" s="116"/>
      <c r="L601" s="116"/>
      <c r="M601" s="116"/>
      <c r="N601" s="116"/>
      <c r="O601" s="116"/>
      <c r="P601" s="116"/>
      <c r="Q601" s="116"/>
      <c r="R601" s="116"/>
      <c r="S601" s="116"/>
      <c r="T601" s="116"/>
      <c r="U601" s="116"/>
    </row>
    <row r="602" spans="2:21" ht="12.95" customHeight="1">
      <c r="B602" s="522"/>
      <c r="C602" s="116"/>
      <c r="D602" s="116"/>
      <c r="E602" s="116"/>
      <c r="F602" s="116"/>
      <c r="G602" s="116"/>
      <c r="H602" s="116"/>
      <c r="I602" s="116"/>
      <c r="J602" s="116"/>
      <c r="K602" s="116"/>
      <c r="L602" s="116"/>
      <c r="M602" s="116"/>
      <c r="N602" s="116"/>
      <c r="O602" s="116"/>
      <c r="P602" s="116"/>
      <c r="Q602" s="116"/>
      <c r="R602" s="116"/>
      <c r="S602" s="116"/>
      <c r="T602" s="116"/>
      <c r="U602" s="116"/>
    </row>
    <row r="603" spans="2:21" ht="12.95" customHeight="1">
      <c r="B603" s="522"/>
      <c r="C603" s="116"/>
      <c r="D603" s="116"/>
      <c r="E603" s="116"/>
      <c r="F603" s="116"/>
      <c r="G603" s="116"/>
      <c r="H603" s="116"/>
      <c r="I603" s="116"/>
      <c r="J603" s="116"/>
      <c r="K603" s="116"/>
      <c r="L603" s="116"/>
      <c r="M603" s="116"/>
      <c r="N603" s="116"/>
      <c r="O603" s="116"/>
      <c r="P603" s="116"/>
      <c r="Q603" s="116"/>
      <c r="R603" s="116"/>
      <c r="S603" s="116"/>
      <c r="T603" s="116"/>
      <c r="U603" s="116"/>
    </row>
    <row r="604" spans="2:21" ht="12.95" customHeight="1">
      <c r="B604" s="522"/>
      <c r="C604" s="116"/>
      <c r="D604" s="116"/>
      <c r="E604" s="116"/>
      <c r="F604" s="116"/>
      <c r="G604" s="116"/>
      <c r="H604" s="116"/>
      <c r="I604" s="116"/>
      <c r="J604" s="116"/>
      <c r="K604" s="116"/>
      <c r="L604" s="116"/>
      <c r="M604" s="116"/>
      <c r="N604" s="116"/>
      <c r="O604" s="116"/>
      <c r="P604" s="116"/>
      <c r="Q604" s="116"/>
      <c r="R604" s="116"/>
      <c r="S604" s="116"/>
      <c r="T604" s="116"/>
      <c r="U604" s="116"/>
    </row>
    <row r="605" spans="2:21" ht="12.95" customHeight="1">
      <c r="B605" s="522"/>
      <c r="C605" s="116"/>
      <c r="D605" s="116"/>
      <c r="E605" s="116"/>
      <c r="F605" s="116"/>
      <c r="G605" s="116"/>
      <c r="H605" s="116"/>
      <c r="I605" s="116"/>
      <c r="J605" s="116"/>
      <c r="K605" s="116"/>
      <c r="L605" s="116"/>
      <c r="M605" s="116"/>
      <c r="N605" s="116"/>
      <c r="O605" s="116"/>
      <c r="P605" s="116"/>
      <c r="Q605" s="116"/>
      <c r="R605" s="116"/>
      <c r="S605" s="116"/>
      <c r="T605" s="116"/>
      <c r="U605" s="116"/>
    </row>
    <row r="606" spans="2:21" ht="12.95" customHeight="1">
      <c r="B606" s="522"/>
      <c r="C606" s="116"/>
      <c r="D606" s="116"/>
      <c r="E606" s="116"/>
      <c r="F606" s="116"/>
      <c r="G606" s="116"/>
      <c r="H606" s="116"/>
      <c r="I606" s="116"/>
      <c r="J606" s="116"/>
      <c r="K606" s="116"/>
      <c r="L606" s="116"/>
      <c r="M606" s="116"/>
      <c r="N606" s="116"/>
      <c r="O606" s="116"/>
      <c r="P606" s="116"/>
      <c r="Q606" s="116"/>
      <c r="R606" s="116"/>
      <c r="S606" s="116"/>
      <c r="T606" s="116"/>
      <c r="U606" s="116"/>
    </row>
    <row r="607" spans="2:21" ht="12.95" customHeight="1">
      <c r="B607" s="522"/>
      <c r="C607" s="116"/>
      <c r="D607" s="116"/>
      <c r="E607" s="116"/>
      <c r="F607" s="116"/>
      <c r="G607" s="116"/>
      <c r="H607" s="116"/>
      <c r="I607" s="116"/>
      <c r="J607" s="116"/>
      <c r="K607" s="116"/>
      <c r="L607" s="116"/>
      <c r="M607" s="116"/>
      <c r="N607" s="116"/>
      <c r="O607" s="116"/>
      <c r="P607" s="116"/>
      <c r="Q607" s="116"/>
      <c r="R607" s="116"/>
      <c r="S607" s="116"/>
      <c r="T607" s="116"/>
      <c r="U607" s="116"/>
    </row>
    <row r="608" spans="2:21" ht="12.95" customHeight="1">
      <c r="B608" s="522"/>
      <c r="C608" s="116"/>
      <c r="D608" s="116"/>
      <c r="E608" s="116"/>
      <c r="F608" s="116"/>
      <c r="G608" s="116"/>
      <c r="H608" s="116"/>
      <c r="I608" s="116"/>
      <c r="J608" s="116"/>
      <c r="K608" s="116"/>
      <c r="L608" s="116"/>
      <c r="M608" s="116"/>
      <c r="N608" s="116"/>
      <c r="O608" s="116"/>
      <c r="P608" s="116"/>
      <c r="Q608" s="116"/>
      <c r="R608" s="116"/>
      <c r="S608" s="116"/>
      <c r="T608" s="116"/>
      <c r="U608" s="116"/>
    </row>
    <row r="609" spans="2:21" ht="12.95" customHeight="1">
      <c r="B609" s="522"/>
      <c r="C609" s="116"/>
      <c r="D609" s="116"/>
      <c r="E609" s="116"/>
      <c r="F609" s="116"/>
      <c r="G609" s="116"/>
      <c r="H609" s="116"/>
      <c r="I609" s="116"/>
      <c r="J609" s="116"/>
      <c r="K609" s="116"/>
      <c r="L609" s="116"/>
      <c r="M609" s="116"/>
      <c r="N609" s="116"/>
      <c r="O609" s="116"/>
      <c r="P609" s="116"/>
      <c r="Q609" s="116"/>
      <c r="R609" s="116"/>
      <c r="S609" s="116"/>
      <c r="T609" s="116"/>
      <c r="U609" s="116"/>
    </row>
    <row r="610" spans="2:21" ht="12.95" customHeight="1">
      <c r="B610" s="522"/>
      <c r="C610" s="116"/>
      <c r="D610" s="116"/>
      <c r="E610" s="116"/>
      <c r="F610" s="116"/>
      <c r="G610" s="116"/>
      <c r="H610" s="116"/>
      <c r="I610" s="116"/>
      <c r="J610" s="116"/>
      <c r="K610" s="116"/>
      <c r="L610" s="116"/>
      <c r="M610" s="116"/>
      <c r="N610" s="116"/>
      <c r="O610" s="116"/>
      <c r="P610" s="116"/>
      <c r="Q610" s="116"/>
      <c r="R610" s="116"/>
      <c r="S610" s="116"/>
      <c r="T610" s="116"/>
      <c r="U610" s="116"/>
    </row>
    <row r="611" spans="2:21" ht="12.95" customHeight="1">
      <c r="B611" s="522"/>
      <c r="C611" s="116"/>
      <c r="D611" s="116"/>
      <c r="E611" s="116"/>
      <c r="F611" s="116"/>
      <c r="G611" s="116"/>
      <c r="H611" s="116"/>
      <c r="I611" s="116"/>
      <c r="J611" s="116"/>
      <c r="K611" s="116"/>
      <c r="L611" s="116"/>
      <c r="M611" s="116"/>
      <c r="N611" s="116"/>
      <c r="O611" s="116"/>
      <c r="P611" s="116"/>
      <c r="Q611" s="116"/>
      <c r="R611" s="116"/>
      <c r="S611" s="116"/>
      <c r="T611" s="116"/>
      <c r="U611" s="116"/>
    </row>
    <row r="612" spans="2:21" ht="12.95" customHeight="1">
      <c r="B612" s="522"/>
      <c r="C612" s="116"/>
      <c r="D612" s="116"/>
      <c r="E612" s="116"/>
      <c r="F612" s="116"/>
      <c r="G612" s="116"/>
      <c r="H612" s="116"/>
      <c r="I612" s="116"/>
      <c r="J612" s="116"/>
      <c r="K612" s="116"/>
      <c r="L612" s="116"/>
      <c r="M612" s="116"/>
      <c r="N612" s="116"/>
      <c r="O612" s="116"/>
      <c r="P612" s="116"/>
      <c r="Q612" s="116"/>
      <c r="R612" s="116"/>
      <c r="S612" s="116"/>
      <c r="T612" s="116"/>
      <c r="U612" s="116"/>
    </row>
    <row r="613" spans="2:21" ht="12.95" customHeight="1">
      <c r="B613" s="522"/>
      <c r="C613" s="116"/>
      <c r="D613" s="116"/>
      <c r="E613" s="116"/>
      <c r="F613" s="116"/>
      <c r="G613" s="116"/>
      <c r="H613" s="116"/>
      <c r="I613" s="116"/>
      <c r="J613" s="116"/>
      <c r="K613" s="116"/>
      <c r="L613" s="116"/>
      <c r="M613" s="116"/>
      <c r="N613" s="116"/>
      <c r="O613" s="116"/>
      <c r="P613" s="116"/>
      <c r="Q613" s="116"/>
      <c r="R613" s="116"/>
      <c r="S613" s="116"/>
      <c r="T613" s="116"/>
      <c r="U613" s="116"/>
    </row>
    <row r="614" spans="2:21" ht="12.95" customHeight="1">
      <c r="B614" s="522"/>
      <c r="C614" s="116"/>
      <c r="D614" s="116"/>
      <c r="E614" s="116"/>
      <c r="F614" s="116"/>
      <c r="G614" s="116"/>
      <c r="H614" s="116"/>
      <c r="I614" s="116"/>
      <c r="J614" s="116"/>
      <c r="K614" s="116"/>
      <c r="L614" s="116"/>
      <c r="M614" s="116"/>
      <c r="N614" s="116"/>
      <c r="O614" s="116"/>
      <c r="P614" s="116"/>
      <c r="Q614" s="116"/>
      <c r="R614" s="116"/>
      <c r="S614" s="116"/>
      <c r="T614" s="116"/>
      <c r="U614" s="116"/>
    </row>
    <row r="615" spans="2:21" ht="12.95" customHeight="1">
      <c r="B615" s="522"/>
      <c r="C615" s="116"/>
      <c r="D615" s="116"/>
      <c r="E615" s="116"/>
      <c r="F615" s="116"/>
      <c r="G615" s="116"/>
      <c r="H615" s="116"/>
      <c r="I615" s="116"/>
      <c r="J615" s="116"/>
      <c r="K615" s="116"/>
      <c r="L615" s="116"/>
      <c r="M615" s="116"/>
      <c r="N615" s="116"/>
      <c r="O615" s="116"/>
      <c r="P615" s="116"/>
      <c r="Q615" s="116"/>
      <c r="R615" s="116"/>
      <c r="S615" s="116"/>
      <c r="T615" s="116"/>
      <c r="U615" s="116"/>
    </row>
    <row r="616" spans="2:21" ht="12.95" customHeight="1">
      <c r="B616" s="522"/>
      <c r="C616" s="116"/>
      <c r="D616" s="116"/>
      <c r="E616" s="116"/>
      <c r="F616" s="116"/>
      <c r="G616" s="116"/>
      <c r="H616" s="116"/>
      <c r="I616" s="116"/>
      <c r="J616" s="116"/>
      <c r="K616" s="116"/>
      <c r="L616" s="116"/>
      <c r="M616" s="116"/>
      <c r="N616" s="116"/>
      <c r="O616" s="116"/>
      <c r="P616" s="116"/>
      <c r="Q616" s="116"/>
      <c r="R616" s="116"/>
      <c r="S616" s="116"/>
      <c r="T616" s="116"/>
      <c r="U616" s="116"/>
    </row>
    <row r="617" spans="2:21" ht="12.95" customHeight="1">
      <c r="B617" s="522"/>
      <c r="C617" s="116"/>
      <c r="D617" s="116"/>
      <c r="E617" s="116"/>
      <c r="F617" s="116"/>
      <c r="G617" s="116"/>
      <c r="H617" s="116"/>
      <c r="I617" s="116"/>
      <c r="J617" s="116"/>
      <c r="K617" s="116"/>
      <c r="L617" s="116"/>
      <c r="M617" s="116"/>
      <c r="N617" s="116"/>
      <c r="O617" s="116"/>
      <c r="P617" s="116"/>
      <c r="Q617" s="116"/>
      <c r="R617" s="116"/>
      <c r="S617" s="116"/>
      <c r="T617" s="116"/>
      <c r="U617" s="116"/>
    </row>
    <row r="618" spans="2:21" ht="12.95" customHeight="1">
      <c r="B618" s="522"/>
      <c r="C618" s="116"/>
      <c r="D618" s="116"/>
      <c r="E618" s="116"/>
      <c r="F618" s="116"/>
      <c r="G618" s="116"/>
      <c r="H618" s="116"/>
      <c r="I618" s="116"/>
      <c r="J618" s="116"/>
      <c r="K618" s="116"/>
      <c r="L618" s="116"/>
      <c r="M618" s="116"/>
      <c r="N618" s="116"/>
      <c r="O618" s="116"/>
      <c r="P618" s="116"/>
      <c r="Q618" s="116"/>
      <c r="R618" s="116"/>
      <c r="S618" s="116"/>
      <c r="T618" s="116"/>
      <c r="U618" s="116"/>
    </row>
    <row r="619" spans="2:21" ht="12.95" customHeight="1">
      <c r="B619" s="522"/>
      <c r="C619" s="116"/>
      <c r="D619" s="116"/>
      <c r="E619" s="116"/>
      <c r="F619" s="116"/>
      <c r="G619" s="116"/>
      <c r="H619" s="116"/>
      <c r="I619" s="116"/>
      <c r="J619" s="116"/>
      <c r="K619" s="116"/>
      <c r="L619" s="116"/>
      <c r="M619" s="116"/>
      <c r="N619" s="116"/>
      <c r="O619" s="116"/>
      <c r="P619" s="116"/>
      <c r="Q619" s="116"/>
      <c r="R619" s="116"/>
      <c r="S619" s="116"/>
      <c r="T619" s="116"/>
      <c r="U619" s="116"/>
    </row>
    <row r="620" spans="2:21" ht="12.95" customHeight="1">
      <c r="B620" s="522"/>
      <c r="C620" s="116"/>
      <c r="D620" s="116"/>
      <c r="E620" s="116"/>
      <c r="F620" s="116"/>
      <c r="G620" s="116"/>
      <c r="H620" s="116"/>
      <c r="I620" s="116"/>
      <c r="J620" s="116"/>
      <c r="K620" s="116"/>
      <c r="L620" s="116"/>
      <c r="M620" s="116"/>
      <c r="N620" s="116"/>
      <c r="O620" s="116"/>
      <c r="P620" s="116"/>
      <c r="Q620" s="116"/>
      <c r="R620" s="116"/>
      <c r="S620" s="116"/>
      <c r="T620" s="116"/>
      <c r="U620" s="116"/>
    </row>
    <row r="621" spans="2:21" ht="12.95" customHeight="1">
      <c r="B621" s="522"/>
      <c r="C621" s="116"/>
      <c r="D621" s="116"/>
      <c r="E621" s="116"/>
      <c r="F621" s="116"/>
      <c r="G621" s="116"/>
      <c r="H621" s="116"/>
      <c r="I621" s="116"/>
      <c r="J621" s="116"/>
      <c r="K621" s="116"/>
      <c r="L621" s="116"/>
      <c r="M621" s="116"/>
      <c r="N621" s="116"/>
      <c r="O621" s="116"/>
      <c r="P621" s="116"/>
      <c r="Q621" s="116"/>
      <c r="R621" s="116"/>
      <c r="S621" s="116"/>
      <c r="T621" s="116"/>
      <c r="U621" s="116"/>
    </row>
    <row r="622" spans="2:21" ht="12.95" customHeight="1">
      <c r="B622" s="522"/>
      <c r="C622" s="116"/>
      <c r="D622" s="116"/>
      <c r="E622" s="116"/>
      <c r="F622" s="116"/>
      <c r="G622" s="116"/>
      <c r="H622" s="116"/>
      <c r="I622" s="116"/>
      <c r="J622" s="116"/>
      <c r="K622" s="116"/>
      <c r="L622" s="116"/>
      <c r="M622" s="116"/>
      <c r="N622" s="116"/>
      <c r="O622" s="116"/>
      <c r="P622" s="116"/>
      <c r="Q622" s="116"/>
      <c r="R622" s="116"/>
      <c r="S622" s="116"/>
      <c r="T622" s="116"/>
      <c r="U622" s="116"/>
    </row>
    <row r="623" spans="2:21" ht="12.95" customHeight="1">
      <c r="B623" s="522"/>
      <c r="C623" s="116"/>
      <c r="D623" s="116"/>
      <c r="E623" s="116"/>
      <c r="F623" s="116"/>
      <c r="G623" s="116"/>
      <c r="H623" s="116"/>
      <c r="I623" s="116"/>
      <c r="J623" s="116"/>
      <c r="K623" s="116"/>
      <c r="L623" s="116"/>
      <c r="M623" s="116"/>
      <c r="N623" s="116"/>
      <c r="O623" s="116"/>
      <c r="P623" s="116"/>
      <c r="Q623" s="116"/>
      <c r="R623" s="116"/>
      <c r="S623" s="116"/>
      <c r="T623" s="116"/>
      <c r="U623" s="116"/>
    </row>
    <row r="624" spans="2:21" ht="12.95" customHeight="1">
      <c r="B624" s="522"/>
      <c r="C624" s="116"/>
      <c r="D624" s="116"/>
      <c r="E624" s="116"/>
      <c r="F624" s="116"/>
      <c r="G624" s="116"/>
      <c r="H624" s="116"/>
      <c r="I624" s="116"/>
      <c r="J624" s="116"/>
      <c r="K624" s="116"/>
      <c r="L624" s="116"/>
      <c r="M624" s="116"/>
      <c r="N624" s="116"/>
      <c r="O624" s="116"/>
      <c r="P624" s="116"/>
      <c r="Q624" s="116"/>
      <c r="R624" s="116"/>
      <c r="S624" s="116"/>
      <c r="T624" s="116"/>
      <c r="U624" s="116"/>
    </row>
    <row r="625" spans="2:21" ht="12.95" customHeight="1">
      <c r="B625" s="522"/>
      <c r="C625" s="116"/>
      <c r="D625" s="116"/>
      <c r="E625" s="116"/>
      <c r="F625" s="116"/>
      <c r="G625" s="116"/>
      <c r="H625" s="116"/>
      <c r="I625" s="116"/>
      <c r="J625" s="116"/>
      <c r="K625" s="116"/>
      <c r="L625" s="116"/>
      <c r="M625" s="116"/>
      <c r="N625" s="116"/>
      <c r="O625" s="116"/>
      <c r="P625" s="116"/>
      <c r="Q625" s="116"/>
      <c r="R625" s="116"/>
      <c r="S625" s="116"/>
      <c r="T625" s="116"/>
      <c r="U625" s="116"/>
    </row>
    <row r="626" spans="2:21" ht="12.95" customHeight="1">
      <c r="B626" s="522"/>
      <c r="C626" s="116"/>
      <c r="D626" s="116"/>
      <c r="E626" s="116"/>
      <c r="F626" s="116"/>
      <c r="G626" s="116"/>
      <c r="H626" s="116"/>
      <c r="I626" s="116"/>
      <c r="J626" s="116"/>
      <c r="K626" s="116"/>
      <c r="L626" s="116"/>
      <c r="M626" s="116"/>
      <c r="N626" s="116"/>
      <c r="O626" s="116"/>
      <c r="P626" s="116"/>
      <c r="Q626" s="116"/>
      <c r="R626" s="116"/>
      <c r="S626" s="116"/>
      <c r="T626" s="116"/>
      <c r="U626" s="116"/>
    </row>
    <row r="627" spans="2:21" ht="12.95" customHeight="1">
      <c r="B627" s="522"/>
      <c r="C627" s="116"/>
      <c r="D627" s="116"/>
      <c r="E627" s="116"/>
      <c r="F627" s="116"/>
      <c r="G627" s="116"/>
      <c r="H627" s="116"/>
      <c r="I627" s="116"/>
      <c r="J627" s="116"/>
      <c r="K627" s="116"/>
      <c r="L627" s="116"/>
      <c r="M627" s="116"/>
      <c r="N627" s="116"/>
      <c r="O627" s="116"/>
      <c r="P627" s="116"/>
      <c r="Q627" s="116"/>
      <c r="R627" s="116"/>
      <c r="S627" s="116"/>
      <c r="T627" s="116"/>
      <c r="U627" s="116"/>
    </row>
    <row r="628" spans="2:21" ht="12.95" customHeight="1">
      <c r="B628" s="522"/>
      <c r="C628" s="116"/>
      <c r="D628" s="116"/>
      <c r="E628" s="116"/>
      <c r="F628" s="116"/>
      <c r="G628" s="116"/>
      <c r="H628" s="116"/>
      <c r="I628" s="116"/>
      <c r="J628" s="116"/>
      <c r="K628" s="116"/>
      <c r="L628" s="116"/>
      <c r="M628" s="116"/>
      <c r="N628" s="116"/>
      <c r="O628" s="116"/>
      <c r="P628" s="116"/>
      <c r="Q628" s="116"/>
      <c r="R628" s="116"/>
      <c r="S628" s="116"/>
      <c r="T628" s="116"/>
      <c r="U628" s="116"/>
    </row>
    <row r="629" spans="2:21" ht="12.95" customHeight="1">
      <c r="B629" s="522"/>
      <c r="C629" s="116"/>
      <c r="D629" s="116"/>
      <c r="E629" s="116"/>
      <c r="F629" s="116"/>
      <c r="G629" s="116"/>
      <c r="H629" s="116"/>
      <c r="I629" s="116"/>
      <c r="J629" s="116"/>
      <c r="K629" s="116"/>
      <c r="L629" s="116"/>
      <c r="M629" s="116"/>
      <c r="N629" s="116"/>
      <c r="O629" s="116"/>
      <c r="P629" s="116"/>
      <c r="Q629" s="116"/>
      <c r="R629" s="116"/>
      <c r="S629" s="116"/>
      <c r="T629" s="116"/>
      <c r="U629" s="116"/>
    </row>
    <row r="630" spans="2:21" ht="12.95" customHeight="1">
      <c r="B630" s="522"/>
      <c r="C630" s="116"/>
      <c r="D630" s="116"/>
      <c r="E630" s="116"/>
      <c r="F630" s="116"/>
      <c r="G630" s="116"/>
      <c r="H630" s="116"/>
      <c r="I630" s="116"/>
      <c r="J630" s="116"/>
      <c r="K630" s="116"/>
      <c r="L630" s="116"/>
      <c r="M630" s="116"/>
      <c r="N630" s="116"/>
      <c r="O630" s="116"/>
      <c r="P630" s="116"/>
      <c r="Q630" s="116"/>
      <c r="R630" s="116"/>
      <c r="S630" s="116"/>
      <c r="T630" s="116"/>
      <c r="U630" s="116"/>
    </row>
    <row r="631" spans="2:21" ht="12.95" customHeight="1">
      <c r="B631" s="522"/>
      <c r="C631" s="116"/>
      <c r="D631" s="116"/>
      <c r="E631" s="116"/>
      <c r="F631" s="116"/>
      <c r="G631" s="116"/>
      <c r="H631" s="116"/>
      <c r="I631" s="116"/>
      <c r="J631" s="116"/>
      <c r="K631" s="116"/>
      <c r="L631" s="116"/>
      <c r="M631" s="116"/>
      <c r="N631" s="116"/>
      <c r="O631" s="116"/>
      <c r="P631" s="116"/>
      <c r="Q631" s="116"/>
      <c r="R631" s="116"/>
      <c r="S631" s="116"/>
      <c r="T631" s="116"/>
      <c r="U631" s="116"/>
    </row>
    <row r="632" spans="2:21" ht="12.95" customHeight="1">
      <c r="B632" s="522"/>
      <c r="C632" s="116"/>
      <c r="D632" s="116"/>
      <c r="E632" s="116"/>
      <c r="F632" s="116"/>
      <c r="G632" s="116"/>
      <c r="H632" s="116"/>
      <c r="I632" s="116"/>
      <c r="J632" s="116"/>
      <c r="K632" s="116"/>
      <c r="L632" s="116"/>
      <c r="M632" s="116"/>
      <c r="N632" s="116"/>
      <c r="O632" s="116"/>
      <c r="P632" s="116"/>
      <c r="Q632" s="116"/>
      <c r="R632" s="116"/>
      <c r="S632" s="116"/>
      <c r="T632" s="116"/>
      <c r="U632" s="116"/>
    </row>
    <row r="633" spans="2:21" ht="12.95" customHeight="1">
      <c r="B633" s="522"/>
      <c r="C633" s="116"/>
      <c r="D633" s="116"/>
      <c r="E633" s="116"/>
      <c r="F633" s="116"/>
      <c r="G633" s="116"/>
      <c r="H633" s="116"/>
      <c r="I633" s="116"/>
      <c r="J633" s="116"/>
      <c r="K633" s="116"/>
      <c r="L633" s="116"/>
      <c r="M633" s="116"/>
      <c r="N633" s="116"/>
      <c r="O633" s="116"/>
      <c r="P633" s="116"/>
      <c r="Q633" s="116"/>
      <c r="R633" s="116"/>
      <c r="S633" s="116"/>
      <c r="T633" s="116"/>
      <c r="U633" s="116"/>
    </row>
    <row r="634" spans="2:21" ht="12.95" customHeight="1">
      <c r="B634" s="522"/>
      <c r="C634" s="116"/>
      <c r="D634" s="116"/>
      <c r="E634" s="116"/>
      <c r="F634" s="116"/>
      <c r="G634" s="116"/>
      <c r="H634" s="116"/>
      <c r="I634" s="116"/>
      <c r="J634" s="116"/>
      <c r="K634" s="116"/>
      <c r="L634" s="116"/>
      <c r="M634" s="116"/>
      <c r="N634" s="116"/>
      <c r="O634" s="116"/>
      <c r="P634" s="116"/>
      <c r="Q634" s="116"/>
      <c r="R634" s="116"/>
      <c r="S634" s="116"/>
      <c r="T634" s="116"/>
      <c r="U634" s="116"/>
    </row>
    <row r="635" spans="2:21" ht="12.95" customHeight="1">
      <c r="B635" s="522"/>
      <c r="C635" s="116"/>
      <c r="D635" s="116"/>
      <c r="E635" s="116"/>
      <c r="F635" s="116"/>
      <c r="G635" s="116"/>
      <c r="H635" s="116"/>
      <c r="I635" s="116"/>
      <c r="J635" s="116"/>
      <c r="K635" s="116"/>
      <c r="L635" s="116"/>
      <c r="M635" s="116"/>
      <c r="N635" s="116"/>
      <c r="O635" s="116"/>
      <c r="P635" s="116"/>
      <c r="Q635" s="116"/>
      <c r="R635" s="116"/>
      <c r="S635" s="116"/>
      <c r="T635" s="116"/>
      <c r="U635" s="116"/>
    </row>
    <row r="636" spans="2:21" ht="12.95" customHeight="1">
      <c r="B636" s="522"/>
      <c r="C636" s="116"/>
      <c r="D636" s="116"/>
      <c r="E636" s="116"/>
      <c r="F636" s="116"/>
      <c r="G636" s="116"/>
      <c r="H636" s="116"/>
      <c r="I636" s="116"/>
      <c r="J636" s="116"/>
      <c r="K636" s="116"/>
      <c r="L636" s="116"/>
      <c r="M636" s="116"/>
      <c r="N636" s="116"/>
      <c r="O636" s="116"/>
      <c r="P636" s="116"/>
      <c r="Q636" s="116"/>
      <c r="R636" s="116"/>
      <c r="S636" s="116"/>
      <c r="T636" s="116"/>
      <c r="U636" s="116"/>
    </row>
    <row r="637" spans="2:21" ht="12.95" customHeight="1">
      <c r="B637" s="522"/>
      <c r="C637" s="116"/>
      <c r="D637" s="116"/>
      <c r="E637" s="116"/>
      <c r="F637" s="116"/>
      <c r="G637" s="116"/>
      <c r="H637" s="116"/>
      <c r="I637" s="116"/>
      <c r="J637" s="116"/>
      <c r="K637" s="116"/>
      <c r="L637" s="116"/>
      <c r="M637" s="116"/>
      <c r="N637" s="116"/>
      <c r="O637" s="116"/>
      <c r="P637" s="116"/>
      <c r="Q637" s="116"/>
      <c r="R637" s="116"/>
      <c r="S637" s="116"/>
      <c r="T637" s="116"/>
      <c r="U637" s="116"/>
    </row>
    <row r="638" spans="2:21" ht="12.95" customHeight="1">
      <c r="B638" s="522"/>
      <c r="C638" s="116"/>
      <c r="D638" s="116"/>
      <c r="E638" s="116"/>
      <c r="F638" s="116"/>
      <c r="G638" s="116"/>
      <c r="H638" s="116"/>
      <c r="I638" s="116"/>
      <c r="J638" s="116"/>
      <c r="K638" s="116"/>
      <c r="L638" s="116"/>
      <c r="M638" s="116"/>
      <c r="N638" s="116"/>
      <c r="O638" s="116"/>
      <c r="P638" s="116"/>
      <c r="Q638" s="116"/>
      <c r="R638" s="116"/>
      <c r="S638" s="116"/>
      <c r="T638" s="116"/>
      <c r="U638" s="116"/>
    </row>
    <row r="639" spans="2:21" ht="12.95" customHeight="1">
      <c r="B639" s="522"/>
      <c r="C639" s="116"/>
      <c r="D639" s="116"/>
      <c r="E639" s="116"/>
      <c r="F639" s="116"/>
      <c r="G639" s="116"/>
      <c r="H639" s="116"/>
      <c r="I639" s="116"/>
      <c r="J639" s="116"/>
      <c r="K639" s="116"/>
      <c r="L639" s="116"/>
      <c r="M639" s="116"/>
      <c r="N639" s="116"/>
      <c r="O639" s="116"/>
      <c r="P639" s="116"/>
      <c r="Q639" s="116"/>
      <c r="R639" s="116"/>
      <c r="S639" s="116"/>
      <c r="T639" s="116"/>
      <c r="U639" s="116"/>
    </row>
    <row r="640" spans="2:21" ht="12.95" customHeight="1">
      <c r="B640" s="522"/>
      <c r="C640" s="116"/>
      <c r="D640" s="116"/>
      <c r="E640" s="116"/>
      <c r="F640" s="116"/>
      <c r="G640" s="116"/>
      <c r="H640" s="116"/>
      <c r="I640" s="116"/>
      <c r="J640" s="116"/>
      <c r="K640" s="116"/>
      <c r="L640" s="116"/>
      <c r="M640" s="116"/>
      <c r="N640" s="116"/>
      <c r="O640" s="116"/>
      <c r="P640" s="116"/>
      <c r="Q640" s="116"/>
      <c r="R640" s="116"/>
      <c r="S640" s="116"/>
      <c r="T640" s="116"/>
      <c r="U640" s="116"/>
    </row>
    <row r="641" spans="2:21" ht="12.95" customHeight="1">
      <c r="B641" s="522"/>
      <c r="C641" s="116"/>
      <c r="D641" s="116"/>
      <c r="E641" s="116"/>
      <c r="F641" s="116"/>
      <c r="G641" s="116"/>
      <c r="H641" s="116"/>
      <c r="I641" s="116"/>
      <c r="J641" s="116"/>
      <c r="K641" s="116"/>
      <c r="L641" s="116"/>
      <c r="M641" s="116"/>
      <c r="N641" s="116"/>
      <c r="O641" s="116"/>
      <c r="P641" s="116"/>
      <c r="Q641" s="116"/>
      <c r="R641" s="116"/>
      <c r="S641" s="116"/>
      <c r="T641" s="116"/>
      <c r="U641" s="116"/>
    </row>
    <row r="642" spans="2:21" ht="12.95" customHeight="1">
      <c r="B642" s="522"/>
      <c r="C642" s="116"/>
      <c r="D642" s="116"/>
      <c r="E642" s="116"/>
      <c r="F642" s="116"/>
      <c r="G642" s="116"/>
      <c r="H642" s="116"/>
      <c r="I642" s="116"/>
      <c r="J642" s="116"/>
      <c r="K642" s="116"/>
      <c r="L642" s="116"/>
      <c r="M642" s="116"/>
      <c r="N642" s="116"/>
      <c r="O642" s="116"/>
      <c r="P642" s="116"/>
      <c r="Q642" s="116"/>
      <c r="R642" s="116"/>
      <c r="S642" s="116"/>
      <c r="T642" s="116"/>
      <c r="U642" s="116"/>
    </row>
    <row r="643" spans="2:21" ht="12.95" customHeight="1">
      <c r="B643" s="522"/>
      <c r="C643" s="116"/>
      <c r="D643" s="116"/>
      <c r="E643" s="116"/>
      <c r="F643" s="116"/>
      <c r="G643" s="116"/>
      <c r="H643" s="116"/>
      <c r="I643" s="116"/>
      <c r="J643" s="116"/>
      <c r="K643" s="116"/>
      <c r="L643" s="116"/>
      <c r="M643" s="116"/>
      <c r="N643" s="116"/>
      <c r="O643" s="116"/>
      <c r="P643" s="116"/>
      <c r="Q643" s="116"/>
      <c r="R643" s="116"/>
      <c r="S643" s="116"/>
      <c r="T643" s="116"/>
      <c r="U643" s="116"/>
    </row>
    <row r="644" spans="2:21" ht="12.95" customHeight="1">
      <c r="B644" s="522"/>
      <c r="C644" s="116"/>
      <c r="D644" s="116"/>
      <c r="E644" s="116"/>
      <c r="F644" s="116"/>
      <c r="G644" s="116"/>
      <c r="H644" s="116"/>
      <c r="I644" s="116"/>
      <c r="J644" s="116"/>
      <c r="K644" s="116"/>
      <c r="L644" s="116"/>
      <c r="M644" s="116"/>
      <c r="N644" s="116"/>
      <c r="O644" s="116"/>
      <c r="P644" s="116"/>
      <c r="Q644" s="116"/>
      <c r="R644" s="116"/>
      <c r="S644" s="116"/>
      <c r="T644" s="116"/>
      <c r="U644" s="116"/>
    </row>
    <row r="645" spans="2:21" ht="12.95" customHeight="1">
      <c r="B645" s="522"/>
      <c r="C645" s="116"/>
      <c r="D645" s="116"/>
      <c r="E645" s="116"/>
      <c r="F645" s="116"/>
      <c r="G645" s="116"/>
      <c r="H645" s="116"/>
      <c r="I645" s="116"/>
      <c r="J645" s="116"/>
      <c r="K645" s="116"/>
      <c r="L645" s="116"/>
      <c r="M645" s="116"/>
      <c r="N645" s="116"/>
      <c r="O645" s="116"/>
      <c r="P645" s="116"/>
      <c r="Q645" s="116"/>
      <c r="R645" s="116"/>
      <c r="S645" s="116"/>
      <c r="T645" s="116"/>
      <c r="U645" s="116"/>
    </row>
    <row r="646" spans="2:21" ht="12.95" customHeight="1">
      <c r="B646" s="522"/>
      <c r="C646" s="116"/>
      <c r="D646" s="116"/>
      <c r="E646" s="116"/>
      <c r="F646" s="116"/>
      <c r="G646" s="116"/>
      <c r="H646" s="116"/>
      <c r="I646" s="116"/>
      <c r="J646" s="116"/>
      <c r="K646" s="116"/>
      <c r="L646" s="116"/>
      <c r="M646" s="116"/>
      <c r="N646" s="116"/>
      <c r="O646" s="116"/>
      <c r="P646" s="116"/>
      <c r="Q646" s="116"/>
      <c r="R646" s="116"/>
      <c r="S646" s="116"/>
      <c r="T646" s="116"/>
      <c r="U646" s="116"/>
    </row>
    <row r="647" spans="2:21" ht="12.95" customHeight="1">
      <c r="B647" s="522"/>
      <c r="C647" s="116"/>
      <c r="D647" s="116"/>
      <c r="E647" s="116"/>
      <c r="F647" s="116"/>
      <c r="G647" s="116"/>
      <c r="H647" s="116"/>
      <c r="I647" s="116"/>
      <c r="J647" s="116"/>
      <c r="K647" s="116"/>
      <c r="L647" s="116"/>
      <c r="M647" s="116"/>
      <c r="N647" s="116"/>
      <c r="O647" s="116"/>
      <c r="P647" s="116"/>
      <c r="Q647" s="116"/>
      <c r="R647" s="116"/>
      <c r="S647" s="116"/>
      <c r="T647" s="116"/>
      <c r="U647" s="116"/>
    </row>
    <row r="648" spans="2:21" ht="12.95" customHeight="1">
      <c r="B648" s="522"/>
      <c r="C648" s="116"/>
      <c r="D648" s="116"/>
      <c r="E648" s="116"/>
      <c r="F648" s="116"/>
      <c r="G648" s="116"/>
      <c r="H648" s="116"/>
      <c r="I648" s="116"/>
      <c r="J648" s="116"/>
      <c r="K648" s="116"/>
      <c r="L648" s="116"/>
      <c r="M648" s="116"/>
      <c r="N648" s="116"/>
      <c r="O648" s="116"/>
      <c r="P648" s="116"/>
      <c r="Q648" s="116"/>
      <c r="R648" s="116"/>
      <c r="S648" s="116"/>
      <c r="T648" s="116"/>
      <c r="U648" s="116"/>
    </row>
    <row r="649" spans="2:21" ht="12.95" customHeight="1">
      <c r="B649" s="522"/>
      <c r="C649" s="116"/>
      <c r="D649" s="116"/>
      <c r="E649" s="116"/>
      <c r="F649" s="116"/>
      <c r="G649" s="116"/>
      <c r="H649" s="116"/>
      <c r="I649" s="116"/>
      <c r="J649" s="116"/>
      <c r="K649" s="116"/>
      <c r="L649" s="116"/>
      <c r="M649" s="116"/>
      <c r="N649" s="116"/>
      <c r="O649" s="116"/>
      <c r="P649" s="116"/>
      <c r="Q649" s="116"/>
      <c r="R649" s="116"/>
      <c r="S649" s="116"/>
      <c r="T649" s="116"/>
      <c r="U649" s="116"/>
    </row>
    <row r="650" spans="2:21" ht="12.95" customHeight="1">
      <c r="B650" s="522"/>
      <c r="C650" s="116"/>
      <c r="D650" s="116"/>
      <c r="E650" s="116"/>
      <c r="F650" s="116"/>
      <c r="G650" s="116"/>
      <c r="H650" s="116"/>
      <c r="I650" s="116"/>
      <c r="J650" s="116"/>
      <c r="K650" s="116"/>
      <c r="L650" s="116"/>
      <c r="M650" s="116"/>
      <c r="N650" s="116"/>
      <c r="O650" s="116"/>
      <c r="P650" s="116"/>
      <c r="Q650" s="116"/>
      <c r="R650" s="116"/>
      <c r="S650" s="116"/>
      <c r="T650" s="116"/>
      <c r="U650" s="116"/>
    </row>
    <row r="651" spans="2:21" ht="12.95" customHeight="1">
      <c r="B651" s="522"/>
      <c r="C651" s="116"/>
      <c r="D651" s="116"/>
      <c r="E651" s="116"/>
      <c r="F651" s="116"/>
      <c r="G651" s="116"/>
      <c r="H651" s="116"/>
      <c r="I651" s="116"/>
      <c r="J651" s="116"/>
      <c r="K651" s="116"/>
      <c r="L651" s="116"/>
      <c r="M651" s="116"/>
      <c r="N651" s="116"/>
      <c r="O651" s="116"/>
      <c r="P651" s="116"/>
      <c r="Q651" s="116"/>
      <c r="R651" s="116"/>
      <c r="S651" s="116"/>
      <c r="T651" s="116"/>
      <c r="U651" s="116"/>
    </row>
    <row r="652" spans="2:21" ht="12.95" customHeight="1">
      <c r="B652" s="522"/>
      <c r="C652" s="116"/>
      <c r="D652" s="116"/>
      <c r="E652" s="116"/>
      <c r="F652" s="116"/>
      <c r="G652" s="116"/>
      <c r="H652" s="116"/>
      <c r="I652" s="116"/>
      <c r="J652" s="116"/>
      <c r="K652" s="116"/>
      <c r="L652" s="116"/>
      <c r="M652" s="116"/>
      <c r="N652" s="116"/>
      <c r="O652" s="116"/>
      <c r="P652" s="116"/>
      <c r="Q652" s="116"/>
      <c r="R652" s="116"/>
      <c r="S652" s="116"/>
      <c r="T652" s="116"/>
      <c r="U652" s="116"/>
    </row>
    <row r="653" spans="2:21" ht="12.95" customHeight="1">
      <c r="B653" s="522"/>
      <c r="C653" s="116"/>
      <c r="D653" s="116"/>
      <c r="E653" s="116"/>
      <c r="F653" s="116"/>
      <c r="G653" s="116"/>
      <c r="H653" s="116"/>
      <c r="I653" s="116"/>
      <c r="J653" s="116"/>
      <c r="K653" s="116"/>
      <c r="L653" s="116"/>
      <c r="M653" s="116"/>
      <c r="N653" s="116"/>
      <c r="O653" s="116"/>
      <c r="P653" s="116"/>
      <c r="Q653" s="116"/>
      <c r="R653" s="116"/>
      <c r="S653" s="116"/>
      <c r="T653" s="116"/>
      <c r="U653" s="116"/>
    </row>
    <row r="654" spans="2:21" ht="12.95" customHeight="1">
      <c r="B654" s="522"/>
      <c r="C654" s="116"/>
      <c r="D654" s="116"/>
      <c r="E654" s="116"/>
      <c r="F654" s="116"/>
      <c r="G654" s="116"/>
      <c r="H654" s="116"/>
      <c r="I654" s="116"/>
      <c r="J654" s="116"/>
      <c r="K654" s="116"/>
      <c r="L654" s="116"/>
      <c r="M654" s="116"/>
      <c r="N654" s="116"/>
      <c r="O654" s="116"/>
      <c r="P654" s="116"/>
      <c r="Q654" s="116"/>
      <c r="R654" s="116"/>
      <c r="S654" s="116"/>
      <c r="T654" s="116"/>
      <c r="U654" s="116"/>
    </row>
    <row r="655" spans="2:21" ht="12.95" customHeight="1">
      <c r="B655" s="522"/>
      <c r="C655" s="116"/>
      <c r="D655" s="116"/>
      <c r="E655" s="116"/>
      <c r="F655" s="116"/>
      <c r="G655" s="116"/>
      <c r="H655" s="116"/>
      <c r="I655" s="116"/>
      <c r="J655" s="116"/>
      <c r="K655" s="116"/>
      <c r="L655" s="116"/>
      <c r="M655" s="116"/>
      <c r="N655" s="116"/>
      <c r="O655" s="116"/>
      <c r="P655" s="116"/>
      <c r="Q655" s="116"/>
      <c r="R655" s="116"/>
      <c r="S655" s="116"/>
      <c r="T655" s="116"/>
      <c r="U655" s="116"/>
    </row>
    <row r="656" spans="2:21" ht="12.95" customHeight="1">
      <c r="B656" s="522"/>
      <c r="C656" s="116"/>
      <c r="D656" s="116"/>
      <c r="E656" s="116"/>
      <c r="F656" s="116"/>
      <c r="G656" s="116"/>
      <c r="H656" s="116"/>
      <c r="I656" s="116"/>
      <c r="J656" s="116"/>
      <c r="K656" s="116"/>
      <c r="L656" s="116"/>
      <c r="M656" s="116"/>
      <c r="N656" s="116"/>
      <c r="O656" s="116"/>
      <c r="P656" s="116"/>
      <c r="Q656" s="116"/>
      <c r="R656" s="116"/>
      <c r="S656" s="116"/>
      <c r="T656" s="116"/>
      <c r="U656" s="116"/>
    </row>
    <row r="657" spans="2:21" ht="12.95" customHeight="1">
      <c r="B657" s="522"/>
      <c r="C657" s="116"/>
      <c r="D657" s="116"/>
      <c r="E657" s="116"/>
      <c r="F657" s="116"/>
      <c r="G657" s="116"/>
      <c r="H657" s="116"/>
      <c r="I657" s="116"/>
      <c r="J657" s="116"/>
      <c r="K657" s="116"/>
      <c r="L657" s="116"/>
      <c r="M657" s="116"/>
      <c r="N657" s="116"/>
      <c r="O657" s="116"/>
      <c r="P657" s="116"/>
      <c r="Q657" s="116"/>
      <c r="R657" s="116"/>
      <c r="S657" s="116"/>
      <c r="T657" s="116"/>
      <c r="U657" s="116"/>
    </row>
    <row r="658" spans="2:21" ht="12.95" customHeight="1">
      <c r="B658" s="522"/>
      <c r="C658" s="116"/>
      <c r="D658" s="116"/>
      <c r="E658" s="116"/>
      <c r="F658" s="116"/>
      <c r="G658" s="116"/>
      <c r="H658" s="116"/>
      <c r="I658" s="116"/>
      <c r="J658" s="116"/>
      <c r="K658" s="116"/>
      <c r="L658" s="116"/>
      <c r="M658" s="116"/>
      <c r="N658" s="116"/>
      <c r="O658" s="116"/>
      <c r="P658" s="116"/>
      <c r="Q658" s="116"/>
      <c r="R658" s="116"/>
      <c r="S658" s="116"/>
      <c r="T658" s="116"/>
      <c r="U658" s="116"/>
    </row>
    <row r="659" spans="2:21" ht="12.95" customHeight="1">
      <c r="B659" s="522"/>
      <c r="C659" s="116"/>
      <c r="D659" s="116"/>
      <c r="E659" s="116"/>
      <c r="F659" s="116"/>
      <c r="G659" s="116"/>
      <c r="H659" s="116"/>
      <c r="I659" s="116"/>
      <c r="J659" s="116"/>
      <c r="K659" s="116"/>
      <c r="L659" s="116"/>
      <c r="M659" s="116"/>
      <c r="N659" s="116"/>
      <c r="O659" s="116"/>
      <c r="P659" s="116"/>
      <c r="Q659" s="116"/>
      <c r="R659" s="116"/>
      <c r="S659" s="116"/>
      <c r="T659" s="116"/>
      <c r="U659" s="116"/>
    </row>
    <row r="660" spans="2:21" ht="12.95" customHeight="1">
      <c r="B660" s="522"/>
      <c r="C660" s="116"/>
      <c r="D660" s="116"/>
      <c r="E660" s="116"/>
      <c r="F660" s="116"/>
      <c r="G660" s="116"/>
      <c r="H660" s="116"/>
      <c r="I660" s="116"/>
      <c r="J660" s="116"/>
      <c r="K660" s="116"/>
      <c r="L660" s="116"/>
      <c r="M660" s="116"/>
      <c r="N660" s="116"/>
      <c r="O660" s="116"/>
      <c r="P660" s="116"/>
      <c r="Q660" s="116"/>
      <c r="R660" s="116"/>
      <c r="S660" s="116"/>
      <c r="T660" s="116"/>
      <c r="U660" s="116"/>
    </row>
    <row r="661" spans="2:21" ht="12.95" customHeight="1">
      <c r="B661" s="522"/>
      <c r="C661" s="116"/>
      <c r="D661" s="116"/>
      <c r="E661" s="116"/>
      <c r="F661" s="116"/>
      <c r="G661" s="116"/>
      <c r="H661" s="116"/>
      <c r="I661" s="116"/>
      <c r="J661" s="116"/>
      <c r="K661" s="116"/>
      <c r="L661" s="116"/>
      <c r="M661" s="116"/>
      <c r="N661" s="116"/>
      <c r="O661" s="116"/>
      <c r="P661" s="116"/>
      <c r="Q661" s="116"/>
      <c r="R661" s="116"/>
      <c r="S661" s="116"/>
      <c r="T661" s="116"/>
      <c r="U661" s="116"/>
    </row>
    <row r="662" spans="2:21" ht="12.95" customHeight="1">
      <c r="B662" s="522"/>
      <c r="C662" s="116"/>
      <c r="D662" s="116"/>
      <c r="E662" s="116"/>
      <c r="F662" s="116"/>
      <c r="G662" s="116"/>
      <c r="H662" s="116"/>
      <c r="I662" s="116"/>
      <c r="J662" s="116"/>
      <c r="K662" s="116"/>
      <c r="L662" s="116"/>
      <c r="M662" s="116"/>
      <c r="N662" s="116"/>
      <c r="O662" s="116"/>
      <c r="P662" s="116"/>
      <c r="Q662" s="116"/>
      <c r="R662" s="116"/>
      <c r="S662" s="116"/>
      <c r="T662" s="116"/>
      <c r="U662" s="116"/>
    </row>
    <row r="663" spans="2:21" ht="12.95" customHeight="1">
      <c r="B663" s="522"/>
      <c r="C663" s="116"/>
      <c r="D663" s="116"/>
      <c r="E663" s="116"/>
      <c r="F663" s="116"/>
      <c r="G663" s="116"/>
      <c r="H663" s="116"/>
      <c r="I663" s="116"/>
      <c r="J663" s="116"/>
      <c r="K663" s="116"/>
      <c r="L663" s="116"/>
      <c r="M663" s="116"/>
      <c r="N663" s="116"/>
      <c r="O663" s="116"/>
      <c r="P663" s="116"/>
      <c r="Q663" s="116"/>
      <c r="R663" s="116"/>
      <c r="S663" s="116"/>
      <c r="T663" s="116"/>
      <c r="U663" s="116"/>
    </row>
    <row r="664" spans="2:21" ht="12.95" customHeight="1">
      <c r="B664" s="522"/>
      <c r="C664" s="116"/>
      <c r="D664" s="116"/>
      <c r="E664" s="116"/>
      <c r="F664" s="116"/>
      <c r="G664" s="116"/>
      <c r="H664" s="116"/>
      <c r="I664" s="116"/>
      <c r="J664" s="116"/>
      <c r="K664" s="116"/>
      <c r="L664" s="116"/>
      <c r="M664" s="116"/>
      <c r="N664" s="116"/>
      <c r="O664" s="116"/>
      <c r="P664" s="116"/>
      <c r="Q664" s="116"/>
      <c r="R664" s="116"/>
      <c r="S664" s="116"/>
      <c r="T664" s="116"/>
      <c r="U664" s="116"/>
    </row>
    <row r="665" spans="2:21" ht="12.95" customHeight="1">
      <c r="B665" s="522"/>
      <c r="C665" s="116"/>
      <c r="D665" s="116"/>
      <c r="E665" s="116"/>
      <c r="F665" s="116"/>
      <c r="G665" s="116"/>
      <c r="H665" s="116"/>
      <c r="I665" s="116"/>
      <c r="J665" s="116"/>
      <c r="K665" s="116"/>
      <c r="L665" s="116"/>
      <c r="M665" s="116"/>
      <c r="N665" s="116"/>
      <c r="O665" s="116"/>
      <c r="P665" s="116"/>
      <c r="Q665" s="116"/>
      <c r="R665" s="116"/>
      <c r="S665" s="116"/>
      <c r="T665" s="116"/>
      <c r="U665" s="116"/>
    </row>
    <row r="666" spans="2:21" ht="12.95" customHeight="1">
      <c r="B666" s="522"/>
      <c r="C666" s="116"/>
      <c r="D666" s="116"/>
      <c r="E666" s="116"/>
      <c r="F666" s="116"/>
      <c r="G666" s="116"/>
      <c r="H666" s="116"/>
      <c r="I666" s="116"/>
      <c r="J666" s="116"/>
      <c r="K666" s="116"/>
      <c r="L666" s="116"/>
      <c r="M666" s="116"/>
      <c r="N666" s="116"/>
      <c r="O666" s="116"/>
      <c r="P666" s="116"/>
      <c r="Q666" s="116"/>
      <c r="R666" s="116"/>
      <c r="S666" s="116"/>
      <c r="T666" s="116"/>
      <c r="U666" s="116"/>
    </row>
    <row r="667" spans="2:21" ht="12.95" customHeight="1">
      <c r="B667" s="522"/>
      <c r="C667" s="116"/>
      <c r="D667" s="116"/>
      <c r="E667" s="116"/>
      <c r="F667" s="116"/>
      <c r="G667" s="116"/>
      <c r="H667" s="116"/>
      <c r="I667" s="116"/>
      <c r="J667" s="116"/>
      <c r="K667" s="116"/>
      <c r="L667" s="116"/>
      <c r="M667" s="116"/>
      <c r="N667" s="116"/>
      <c r="O667" s="116"/>
      <c r="P667" s="116"/>
      <c r="Q667" s="116"/>
      <c r="R667" s="116"/>
      <c r="S667" s="116"/>
      <c r="T667" s="116"/>
      <c r="U667" s="116"/>
    </row>
    <row r="668" spans="2:21" ht="12.95" customHeight="1">
      <c r="B668" s="522"/>
      <c r="C668" s="116"/>
      <c r="D668" s="116"/>
      <c r="E668" s="116"/>
      <c r="F668" s="116"/>
      <c r="G668" s="116"/>
      <c r="H668" s="116"/>
      <c r="I668" s="116"/>
      <c r="J668" s="116"/>
      <c r="K668" s="116"/>
      <c r="L668" s="116"/>
      <c r="M668" s="116"/>
      <c r="N668" s="116"/>
      <c r="O668" s="116"/>
      <c r="P668" s="116"/>
      <c r="Q668" s="116"/>
      <c r="R668" s="116"/>
      <c r="S668" s="116"/>
      <c r="T668" s="116"/>
      <c r="U668" s="116"/>
    </row>
    <row r="669" spans="2:21" ht="12.95" customHeight="1">
      <c r="B669" s="522"/>
      <c r="C669" s="116"/>
      <c r="D669" s="116"/>
      <c r="E669" s="116"/>
      <c r="F669" s="116"/>
      <c r="G669" s="116"/>
      <c r="H669" s="116"/>
      <c r="I669" s="116"/>
      <c r="J669" s="116"/>
      <c r="K669" s="116"/>
      <c r="L669" s="116"/>
      <c r="M669" s="116"/>
      <c r="N669" s="116"/>
      <c r="O669" s="116"/>
      <c r="P669" s="116"/>
      <c r="Q669" s="116"/>
      <c r="R669" s="116"/>
      <c r="S669" s="116"/>
      <c r="T669" s="116"/>
      <c r="U669" s="116"/>
    </row>
    <row r="670" spans="2:21" ht="12.95" customHeight="1">
      <c r="B670" s="522"/>
      <c r="C670" s="116"/>
      <c r="D670" s="116"/>
      <c r="E670" s="116"/>
      <c r="F670" s="116"/>
      <c r="G670" s="116"/>
      <c r="H670" s="116"/>
      <c r="I670" s="116"/>
      <c r="J670" s="116"/>
      <c r="K670" s="116"/>
      <c r="L670" s="116"/>
      <c r="M670" s="116"/>
      <c r="N670" s="116"/>
      <c r="O670" s="116"/>
      <c r="P670" s="116"/>
      <c r="Q670" s="116"/>
      <c r="R670" s="116"/>
      <c r="S670" s="116"/>
      <c r="T670" s="116"/>
      <c r="U670" s="116"/>
    </row>
    <row r="671" spans="2:21" ht="12.95" customHeight="1">
      <c r="B671" s="522"/>
      <c r="C671" s="116"/>
      <c r="D671" s="116"/>
      <c r="E671" s="116"/>
      <c r="F671" s="116"/>
      <c r="G671" s="116"/>
      <c r="H671" s="116"/>
      <c r="I671" s="116"/>
      <c r="J671" s="116"/>
      <c r="K671" s="116"/>
      <c r="L671" s="116"/>
      <c r="M671" s="116"/>
      <c r="N671" s="116"/>
      <c r="O671" s="116"/>
      <c r="P671" s="116"/>
      <c r="Q671" s="116"/>
      <c r="R671" s="116"/>
      <c r="S671" s="116"/>
      <c r="T671" s="116"/>
      <c r="U671" s="116"/>
    </row>
    <row r="672" spans="2:21" ht="12.95" customHeight="1">
      <c r="B672" s="522"/>
      <c r="C672" s="116"/>
      <c r="D672" s="116"/>
      <c r="E672" s="116"/>
      <c r="F672" s="116"/>
      <c r="G672" s="116"/>
      <c r="H672" s="116"/>
      <c r="I672" s="116"/>
      <c r="J672" s="116"/>
      <c r="K672" s="116"/>
      <c r="L672" s="116"/>
      <c r="M672" s="116"/>
      <c r="N672" s="116"/>
      <c r="O672" s="116"/>
      <c r="P672" s="116"/>
      <c r="Q672" s="116"/>
      <c r="R672" s="116"/>
      <c r="S672" s="116"/>
      <c r="T672" s="116"/>
      <c r="U672" s="116"/>
    </row>
    <row r="673" spans="2:21" ht="12.95" customHeight="1">
      <c r="B673" s="522"/>
      <c r="C673" s="116"/>
      <c r="D673" s="116"/>
      <c r="E673" s="116"/>
      <c r="F673" s="116"/>
      <c r="G673" s="116"/>
      <c r="H673" s="116"/>
      <c r="I673" s="116"/>
      <c r="J673" s="116"/>
      <c r="K673" s="116"/>
      <c r="L673" s="116"/>
      <c r="M673" s="116"/>
      <c r="N673" s="116"/>
      <c r="O673" s="116"/>
      <c r="P673" s="116"/>
      <c r="Q673" s="116"/>
      <c r="R673" s="116"/>
      <c r="S673" s="116"/>
      <c r="T673" s="116"/>
      <c r="U673" s="116"/>
    </row>
    <row r="674" spans="2:21" ht="12.95" customHeight="1">
      <c r="B674" s="522"/>
      <c r="C674" s="116"/>
      <c r="D674" s="116"/>
      <c r="E674" s="116"/>
      <c r="F674" s="116"/>
      <c r="G674" s="116"/>
      <c r="H674" s="116"/>
      <c r="I674" s="116"/>
      <c r="J674" s="116"/>
      <c r="K674" s="116"/>
      <c r="L674" s="116"/>
      <c r="M674" s="116"/>
      <c r="N674" s="116"/>
      <c r="O674" s="116"/>
      <c r="P674" s="116"/>
      <c r="Q674" s="116"/>
      <c r="R674" s="116"/>
      <c r="S674" s="116"/>
      <c r="T674" s="116"/>
      <c r="U674" s="116"/>
    </row>
    <row r="675" spans="2:21" ht="12.95" customHeight="1">
      <c r="B675" s="522"/>
      <c r="C675" s="116"/>
      <c r="D675" s="116"/>
      <c r="E675" s="116"/>
      <c r="F675" s="116"/>
      <c r="G675" s="116"/>
      <c r="H675" s="116"/>
      <c r="I675" s="116"/>
      <c r="J675" s="116"/>
      <c r="K675" s="116"/>
      <c r="L675" s="116"/>
      <c r="M675" s="116"/>
      <c r="N675" s="116"/>
      <c r="O675" s="116"/>
      <c r="P675" s="116"/>
      <c r="Q675" s="116"/>
      <c r="R675" s="116"/>
      <c r="S675" s="116"/>
      <c r="T675" s="116"/>
      <c r="U675" s="116"/>
    </row>
    <row r="676" spans="2:21" ht="12.95" customHeight="1">
      <c r="B676" s="522"/>
      <c r="C676" s="116"/>
      <c r="D676" s="116"/>
      <c r="E676" s="116"/>
      <c r="F676" s="116"/>
      <c r="G676" s="116"/>
      <c r="H676" s="116"/>
      <c r="I676" s="116"/>
      <c r="J676" s="116"/>
      <c r="K676" s="116"/>
      <c r="L676" s="116"/>
      <c r="M676" s="116"/>
      <c r="N676" s="116"/>
      <c r="O676" s="116"/>
      <c r="P676" s="116"/>
      <c r="Q676" s="116"/>
      <c r="R676" s="116"/>
      <c r="S676" s="116"/>
      <c r="T676" s="116"/>
      <c r="U676" s="116"/>
    </row>
    <row r="677" spans="2:21" ht="12.95" customHeight="1">
      <c r="B677" s="522"/>
      <c r="C677" s="116"/>
      <c r="D677" s="116"/>
      <c r="E677" s="116"/>
      <c r="F677" s="116"/>
      <c r="G677" s="116"/>
      <c r="H677" s="116"/>
      <c r="I677" s="116"/>
      <c r="J677" s="116"/>
      <c r="K677" s="116"/>
      <c r="L677" s="116"/>
      <c r="M677" s="116"/>
      <c r="N677" s="116"/>
      <c r="O677" s="116"/>
      <c r="P677" s="116"/>
      <c r="Q677" s="116"/>
      <c r="R677" s="116"/>
      <c r="S677" s="116"/>
      <c r="T677" s="116"/>
      <c r="U677" s="116"/>
    </row>
    <row r="678" spans="2:21" ht="12.95" customHeight="1">
      <c r="B678" s="522"/>
      <c r="C678" s="116"/>
      <c r="D678" s="116"/>
      <c r="E678" s="116"/>
      <c r="F678" s="116"/>
      <c r="G678" s="116"/>
      <c r="H678" s="116"/>
      <c r="I678" s="116"/>
      <c r="J678" s="116"/>
      <c r="K678" s="116"/>
      <c r="L678" s="116"/>
      <c r="M678" s="116"/>
      <c r="N678" s="116"/>
      <c r="O678" s="116"/>
      <c r="P678" s="116"/>
      <c r="Q678" s="116"/>
      <c r="R678" s="116"/>
      <c r="S678" s="116"/>
      <c r="T678" s="116"/>
      <c r="U678" s="116"/>
    </row>
    <row r="679" spans="2:21" ht="12.95" customHeight="1">
      <c r="B679" s="522"/>
      <c r="C679" s="116"/>
      <c r="D679" s="116"/>
      <c r="E679" s="116"/>
      <c r="F679" s="116"/>
      <c r="G679" s="116"/>
      <c r="H679" s="116"/>
      <c r="I679" s="116"/>
      <c r="J679" s="116"/>
      <c r="K679" s="116"/>
      <c r="L679" s="116"/>
      <c r="M679" s="116"/>
      <c r="N679" s="116"/>
      <c r="O679" s="116"/>
      <c r="P679" s="116"/>
      <c r="Q679" s="116"/>
      <c r="R679" s="116"/>
      <c r="S679" s="116"/>
      <c r="T679" s="116"/>
      <c r="U679" s="116"/>
    </row>
    <row r="680" spans="2:21" ht="12.95" customHeight="1">
      <c r="B680" s="522"/>
      <c r="C680" s="116"/>
      <c r="D680" s="116"/>
      <c r="E680" s="116"/>
      <c r="F680" s="116"/>
      <c r="G680" s="116"/>
      <c r="H680" s="116"/>
      <c r="I680" s="116"/>
      <c r="J680" s="116"/>
      <c r="K680" s="116"/>
      <c r="L680" s="116"/>
      <c r="M680" s="116"/>
      <c r="N680" s="116"/>
      <c r="O680" s="116"/>
      <c r="P680" s="116"/>
      <c r="Q680" s="116"/>
      <c r="R680" s="116"/>
      <c r="S680" s="116"/>
      <c r="T680" s="116"/>
      <c r="U680" s="116"/>
    </row>
    <row r="681" spans="2:21" ht="12.95" customHeight="1">
      <c r="B681" s="522"/>
      <c r="C681" s="116"/>
      <c r="D681" s="116"/>
      <c r="E681" s="116"/>
      <c r="F681" s="116"/>
      <c r="G681" s="116"/>
      <c r="H681" s="116"/>
      <c r="I681" s="116"/>
      <c r="J681" s="116"/>
      <c r="K681" s="116"/>
      <c r="L681" s="116"/>
      <c r="M681" s="116"/>
      <c r="N681" s="116"/>
      <c r="O681" s="116"/>
      <c r="P681" s="116"/>
      <c r="Q681" s="116"/>
      <c r="R681" s="116"/>
      <c r="S681" s="116"/>
      <c r="T681" s="116"/>
      <c r="U681" s="116"/>
    </row>
    <row r="682" spans="2:21" ht="12.95" customHeight="1">
      <c r="B682" s="522"/>
      <c r="C682" s="116"/>
      <c r="D682" s="116"/>
      <c r="E682" s="116"/>
      <c r="F682" s="116"/>
      <c r="G682" s="116"/>
      <c r="H682" s="116"/>
      <c r="I682" s="116"/>
      <c r="J682" s="116"/>
      <c r="K682" s="116"/>
      <c r="L682" s="116"/>
      <c r="M682" s="116"/>
      <c r="N682" s="116"/>
      <c r="O682" s="116"/>
      <c r="P682" s="116"/>
      <c r="Q682" s="116"/>
      <c r="R682" s="116"/>
      <c r="S682" s="116"/>
      <c r="T682" s="116"/>
      <c r="U682" s="116"/>
    </row>
    <row r="683" spans="2:21" ht="12.95" customHeight="1">
      <c r="B683" s="522"/>
      <c r="C683" s="116"/>
      <c r="D683" s="116"/>
      <c r="E683" s="116"/>
      <c r="F683" s="116"/>
      <c r="G683" s="116"/>
      <c r="H683" s="116"/>
      <c r="I683" s="116"/>
      <c r="J683" s="116"/>
      <c r="K683" s="116"/>
      <c r="L683" s="116"/>
      <c r="M683" s="116"/>
      <c r="N683" s="116"/>
      <c r="O683" s="116"/>
      <c r="P683" s="116"/>
      <c r="Q683" s="116"/>
      <c r="R683" s="116"/>
      <c r="S683" s="116"/>
      <c r="T683" s="116"/>
      <c r="U683" s="116"/>
    </row>
    <row r="684" spans="2:21" ht="12.95" customHeight="1">
      <c r="B684" s="522"/>
      <c r="C684" s="116"/>
      <c r="D684" s="116"/>
      <c r="E684" s="116"/>
      <c r="F684" s="116"/>
      <c r="G684" s="116"/>
      <c r="H684" s="116"/>
      <c r="I684" s="116"/>
      <c r="J684" s="116"/>
      <c r="K684" s="116"/>
      <c r="L684" s="116"/>
      <c r="M684" s="116"/>
      <c r="N684" s="116"/>
      <c r="O684" s="116"/>
      <c r="P684" s="116"/>
      <c r="Q684" s="116"/>
      <c r="R684" s="116"/>
      <c r="S684" s="116"/>
      <c r="T684" s="116"/>
      <c r="U684" s="116"/>
    </row>
    <row r="685" spans="2:21" ht="12.95" customHeight="1">
      <c r="B685" s="522"/>
      <c r="C685" s="116"/>
      <c r="D685" s="116"/>
      <c r="E685" s="116"/>
      <c r="F685" s="116"/>
      <c r="G685" s="116"/>
      <c r="H685" s="116"/>
      <c r="I685" s="116"/>
      <c r="J685" s="116"/>
      <c r="K685" s="116"/>
      <c r="L685" s="116"/>
      <c r="M685" s="116"/>
      <c r="N685" s="116"/>
      <c r="O685" s="116"/>
      <c r="P685" s="116"/>
      <c r="Q685" s="116"/>
      <c r="R685" s="116"/>
      <c r="S685" s="116"/>
      <c r="T685" s="116"/>
      <c r="U685" s="116"/>
    </row>
    <row r="686" spans="2:21" ht="12.95" customHeight="1">
      <c r="B686" s="522"/>
      <c r="C686" s="116"/>
      <c r="D686" s="116"/>
      <c r="E686" s="116"/>
      <c r="F686" s="116"/>
      <c r="G686" s="116"/>
      <c r="H686" s="116"/>
      <c r="I686" s="116"/>
      <c r="J686" s="116"/>
      <c r="K686" s="116"/>
      <c r="L686" s="116"/>
      <c r="M686" s="116"/>
      <c r="N686" s="116"/>
      <c r="O686" s="116"/>
      <c r="P686" s="116"/>
      <c r="Q686" s="116"/>
      <c r="R686" s="116"/>
      <c r="S686" s="116"/>
      <c r="T686" s="116"/>
      <c r="U686" s="116"/>
    </row>
    <row r="687" spans="2:21" ht="12.95" customHeight="1">
      <c r="B687" s="522"/>
      <c r="C687" s="116"/>
      <c r="D687" s="116"/>
      <c r="E687" s="116"/>
      <c r="F687" s="116"/>
      <c r="G687" s="116"/>
      <c r="H687" s="116"/>
      <c r="I687" s="116"/>
      <c r="J687" s="116"/>
      <c r="K687" s="116"/>
      <c r="L687" s="116"/>
      <c r="M687" s="116"/>
      <c r="N687" s="116"/>
      <c r="O687" s="116"/>
      <c r="P687" s="116"/>
      <c r="Q687" s="116"/>
      <c r="R687" s="116"/>
      <c r="S687" s="116"/>
      <c r="T687" s="116"/>
      <c r="U687" s="116"/>
    </row>
    <row r="688" spans="2:21" ht="12.95" customHeight="1">
      <c r="B688" s="522"/>
      <c r="C688" s="116"/>
      <c r="D688" s="116"/>
      <c r="E688" s="116"/>
      <c r="F688" s="116"/>
      <c r="G688" s="116"/>
      <c r="H688" s="116"/>
      <c r="I688" s="116"/>
      <c r="J688" s="116"/>
      <c r="K688" s="116"/>
      <c r="L688" s="116"/>
      <c r="M688" s="116"/>
      <c r="N688" s="116"/>
      <c r="O688" s="116"/>
      <c r="P688" s="116"/>
      <c r="Q688" s="116"/>
      <c r="R688" s="116"/>
      <c r="S688" s="116"/>
      <c r="T688" s="116"/>
      <c r="U688" s="116"/>
    </row>
    <row r="689" spans="2:21" ht="12.95" customHeight="1">
      <c r="B689" s="522"/>
      <c r="C689" s="116"/>
      <c r="D689" s="116"/>
      <c r="E689" s="116"/>
      <c r="F689" s="116"/>
      <c r="G689" s="116"/>
      <c r="H689" s="116"/>
      <c r="I689" s="116"/>
      <c r="J689" s="116"/>
      <c r="K689" s="116"/>
      <c r="L689" s="116"/>
      <c r="M689" s="116"/>
      <c r="N689" s="116"/>
      <c r="O689" s="116"/>
      <c r="P689" s="116"/>
      <c r="Q689" s="116"/>
      <c r="R689" s="116"/>
      <c r="S689" s="116"/>
      <c r="T689" s="116"/>
      <c r="U689" s="116"/>
    </row>
    <row r="690" spans="2:21" ht="12.95" customHeight="1">
      <c r="B690" s="522"/>
      <c r="C690" s="116"/>
      <c r="D690" s="116"/>
      <c r="E690" s="116"/>
      <c r="F690" s="116"/>
      <c r="G690" s="116"/>
      <c r="H690" s="116"/>
      <c r="I690" s="116"/>
      <c r="J690" s="116"/>
      <c r="K690" s="116"/>
      <c r="L690" s="116"/>
      <c r="M690" s="116"/>
      <c r="N690" s="116"/>
      <c r="O690" s="116"/>
      <c r="P690" s="116"/>
      <c r="Q690" s="116"/>
      <c r="R690" s="116"/>
      <c r="S690" s="116"/>
      <c r="T690" s="116"/>
      <c r="U690" s="116"/>
    </row>
    <row r="691" spans="2:21" ht="12.95" customHeight="1">
      <c r="B691" s="522"/>
      <c r="C691" s="116"/>
      <c r="D691" s="116"/>
      <c r="E691" s="116"/>
      <c r="F691" s="116"/>
      <c r="G691" s="116"/>
      <c r="H691" s="116"/>
      <c r="I691" s="116"/>
      <c r="J691" s="116"/>
      <c r="K691" s="116"/>
      <c r="L691" s="116"/>
      <c r="M691" s="116"/>
      <c r="N691" s="116"/>
      <c r="O691" s="116"/>
      <c r="P691" s="116"/>
      <c r="Q691" s="116"/>
      <c r="R691" s="116"/>
      <c r="S691" s="116"/>
      <c r="T691" s="116"/>
      <c r="U691" s="116"/>
    </row>
    <row r="692" spans="2:21" ht="12.95" customHeight="1">
      <c r="B692" s="522"/>
      <c r="C692" s="116"/>
      <c r="D692" s="116"/>
      <c r="E692" s="116"/>
      <c r="F692" s="116"/>
      <c r="G692" s="116"/>
      <c r="H692" s="116"/>
      <c r="I692" s="116"/>
      <c r="J692" s="116"/>
      <c r="K692" s="116"/>
      <c r="L692" s="116"/>
      <c r="M692" s="116"/>
      <c r="N692" s="116"/>
      <c r="O692" s="116"/>
      <c r="P692" s="116"/>
      <c r="Q692" s="116"/>
      <c r="R692" s="116"/>
      <c r="S692" s="116"/>
      <c r="T692" s="116"/>
      <c r="U692" s="116"/>
    </row>
    <row r="693" spans="2:21" ht="12.95" customHeight="1">
      <c r="B693" s="522"/>
      <c r="C693" s="116"/>
      <c r="D693" s="116"/>
      <c r="E693" s="116"/>
      <c r="F693" s="116"/>
      <c r="G693" s="116"/>
      <c r="H693" s="116"/>
      <c r="I693" s="116"/>
      <c r="J693" s="116"/>
      <c r="K693" s="116"/>
      <c r="L693" s="116"/>
      <c r="M693" s="116"/>
      <c r="N693" s="116"/>
      <c r="O693" s="116"/>
      <c r="P693" s="116"/>
      <c r="Q693" s="116"/>
      <c r="R693" s="116"/>
      <c r="S693" s="116"/>
      <c r="T693" s="116"/>
      <c r="U693" s="116"/>
    </row>
    <row r="694" spans="2:21" ht="12.95" customHeight="1">
      <c r="B694" s="522"/>
      <c r="C694" s="116"/>
      <c r="D694" s="116"/>
      <c r="E694" s="116"/>
      <c r="F694" s="116"/>
      <c r="G694" s="116"/>
      <c r="H694" s="116"/>
      <c r="I694" s="116"/>
      <c r="J694" s="116"/>
      <c r="K694" s="116"/>
      <c r="L694" s="116"/>
      <c r="M694" s="116"/>
      <c r="N694" s="116"/>
      <c r="O694" s="116"/>
      <c r="P694" s="116"/>
      <c r="Q694" s="116"/>
      <c r="R694" s="116"/>
      <c r="S694" s="116"/>
      <c r="T694" s="116"/>
      <c r="U694" s="116"/>
    </row>
    <row r="695" spans="2:21" ht="12.95" customHeight="1">
      <c r="B695" s="522"/>
      <c r="C695" s="116"/>
      <c r="D695" s="116"/>
      <c r="E695" s="116"/>
      <c r="F695" s="116"/>
      <c r="G695" s="116"/>
      <c r="H695" s="116"/>
      <c r="I695" s="116"/>
      <c r="J695" s="116"/>
      <c r="K695" s="116"/>
      <c r="L695" s="116"/>
      <c r="M695" s="116"/>
      <c r="N695" s="116"/>
      <c r="O695" s="116"/>
      <c r="P695" s="116"/>
      <c r="Q695" s="116"/>
      <c r="R695" s="116"/>
      <c r="S695" s="116"/>
      <c r="T695" s="116"/>
      <c r="U695" s="116"/>
    </row>
    <row r="696" spans="2:21" ht="12.95" customHeight="1">
      <c r="B696" s="522"/>
      <c r="C696" s="116"/>
      <c r="D696" s="116"/>
      <c r="E696" s="116"/>
      <c r="F696" s="116"/>
      <c r="G696" s="116"/>
      <c r="H696" s="116"/>
      <c r="I696" s="116"/>
      <c r="J696" s="116"/>
      <c r="K696" s="116"/>
      <c r="L696" s="116"/>
      <c r="M696" s="116"/>
      <c r="N696" s="116"/>
      <c r="O696" s="116"/>
      <c r="P696" s="116"/>
      <c r="Q696" s="116"/>
      <c r="R696" s="116"/>
      <c r="S696" s="116"/>
      <c r="T696" s="116"/>
      <c r="U696" s="116"/>
    </row>
    <row r="697" spans="2:21" ht="12.95" customHeight="1">
      <c r="B697" s="522"/>
      <c r="C697" s="116"/>
      <c r="D697" s="116"/>
      <c r="E697" s="116"/>
      <c r="F697" s="116"/>
      <c r="G697" s="116"/>
      <c r="H697" s="116"/>
      <c r="I697" s="116"/>
      <c r="J697" s="116"/>
      <c r="K697" s="116"/>
      <c r="L697" s="116"/>
      <c r="M697" s="116"/>
      <c r="N697" s="116"/>
      <c r="O697" s="116"/>
      <c r="P697" s="116"/>
      <c r="Q697" s="116"/>
      <c r="R697" s="116"/>
      <c r="S697" s="116"/>
      <c r="T697" s="116"/>
      <c r="U697" s="116"/>
    </row>
    <row r="698" spans="2:21" ht="12.95" customHeight="1">
      <c r="B698" s="522"/>
      <c r="C698" s="116"/>
      <c r="D698" s="116"/>
      <c r="E698" s="116"/>
      <c r="F698" s="116"/>
      <c r="G698" s="116"/>
      <c r="H698" s="116"/>
      <c r="I698" s="116"/>
      <c r="J698" s="116"/>
      <c r="K698" s="116"/>
      <c r="L698" s="116"/>
      <c r="M698" s="116"/>
      <c r="N698" s="116"/>
      <c r="O698" s="116"/>
      <c r="P698" s="116"/>
      <c r="Q698" s="116"/>
      <c r="R698" s="116"/>
      <c r="S698" s="116"/>
      <c r="T698" s="116"/>
      <c r="U698" s="116"/>
    </row>
    <row r="699" spans="2:21" ht="12.95" customHeight="1">
      <c r="B699" s="522"/>
      <c r="C699" s="116"/>
      <c r="D699" s="116"/>
      <c r="E699" s="116"/>
      <c r="F699" s="116"/>
      <c r="G699" s="116"/>
      <c r="H699" s="116"/>
      <c r="I699" s="116"/>
      <c r="J699" s="116"/>
      <c r="K699" s="116"/>
      <c r="L699" s="116"/>
      <c r="M699" s="116"/>
      <c r="N699" s="116"/>
      <c r="O699" s="116"/>
      <c r="P699" s="116"/>
      <c r="Q699" s="116"/>
      <c r="R699" s="116"/>
      <c r="S699" s="116"/>
      <c r="T699" s="116"/>
      <c r="U699" s="116"/>
    </row>
    <row r="700" spans="2:21" ht="12.95" customHeight="1">
      <c r="B700" s="522"/>
      <c r="C700" s="116"/>
      <c r="D700" s="116"/>
      <c r="E700" s="116"/>
      <c r="F700" s="116"/>
      <c r="G700" s="116"/>
      <c r="H700" s="116"/>
      <c r="I700" s="116"/>
      <c r="J700" s="116"/>
      <c r="K700" s="116"/>
      <c r="L700" s="116"/>
      <c r="M700" s="116"/>
      <c r="N700" s="116"/>
      <c r="O700" s="116"/>
      <c r="P700" s="116"/>
      <c r="Q700" s="116"/>
      <c r="R700" s="116"/>
      <c r="S700" s="116"/>
      <c r="T700" s="116"/>
      <c r="U700" s="116"/>
    </row>
    <row r="701" spans="2:21" ht="12.95" customHeight="1">
      <c r="B701" s="522"/>
      <c r="C701" s="116"/>
      <c r="D701" s="116"/>
      <c r="E701" s="116"/>
      <c r="F701" s="116"/>
      <c r="G701" s="116"/>
      <c r="H701" s="116"/>
      <c r="I701" s="116"/>
      <c r="J701" s="116"/>
      <c r="K701" s="116"/>
      <c r="L701" s="116"/>
      <c r="M701" s="116"/>
      <c r="N701" s="116"/>
      <c r="O701" s="116"/>
      <c r="P701" s="116"/>
      <c r="Q701" s="116"/>
      <c r="R701" s="116"/>
      <c r="S701" s="116"/>
      <c r="T701" s="116"/>
      <c r="U701" s="116"/>
    </row>
    <row r="702" spans="2:21" ht="12.95" customHeight="1">
      <c r="B702" s="522"/>
      <c r="C702" s="116"/>
      <c r="D702" s="116"/>
      <c r="E702" s="116"/>
      <c r="F702" s="116"/>
      <c r="G702" s="116"/>
      <c r="H702" s="116"/>
      <c r="I702" s="116"/>
      <c r="J702" s="116"/>
      <c r="K702" s="116"/>
      <c r="L702" s="116"/>
      <c r="M702" s="116"/>
      <c r="N702" s="116"/>
      <c r="O702" s="116"/>
      <c r="P702" s="116"/>
      <c r="Q702" s="116"/>
      <c r="R702" s="116"/>
      <c r="S702" s="116"/>
      <c r="T702" s="116"/>
      <c r="U702" s="116"/>
    </row>
    <row r="703" spans="2:21" ht="12.95" customHeight="1">
      <c r="B703" s="522"/>
      <c r="C703" s="116"/>
      <c r="D703" s="116"/>
      <c r="E703" s="116"/>
      <c r="F703" s="116"/>
      <c r="G703" s="116"/>
      <c r="H703" s="116"/>
      <c r="I703" s="116"/>
      <c r="J703" s="116"/>
      <c r="K703" s="116"/>
      <c r="L703" s="116"/>
      <c r="M703" s="116"/>
      <c r="N703" s="116"/>
      <c r="O703" s="116"/>
      <c r="P703" s="116"/>
      <c r="Q703" s="116"/>
      <c r="R703" s="116"/>
      <c r="S703" s="116"/>
      <c r="T703" s="116"/>
      <c r="U703" s="116"/>
    </row>
    <row r="704" spans="2:21" ht="12.95" customHeight="1">
      <c r="B704" s="522"/>
      <c r="C704" s="116"/>
      <c r="D704" s="116"/>
      <c r="E704" s="116"/>
      <c r="F704" s="116"/>
      <c r="G704" s="116"/>
      <c r="H704" s="116"/>
      <c r="I704" s="116"/>
      <c r="J704" s="116"/>
      <c r="K704" s="116"/>
      <c r="L704" s="116"/>
      <c r="M704" s="116"/>
      <c r="N704" s="116"/>
      <c r="O704" s="116"/>
      <c r="P704" s="116"/>
      <c r="Q704" s="116"/>
      <c r="R704" s="116"/>
      <c r="S704" s="116"/>
      <c r="T704" s="116"/>
      <c r="U704" s="116"/>
    </row>
    <row r="705" spans="2:21" ht="12.95" customHeight="1">
      <c r="B705" s="522"/>
      <c r="C705" s="116"/>
      <c r="D705" s="116"/>
      <c r="E705" s="116"/>
      <c r="F705" s="116"/>
      <c r="G705" s="116"/>
      <c r="H705" s="116"/>
      <c r="I705" s="116"/>
      <c r="J705" s="116"/>
      <c r="K705" s="116"/>
      <c r="L705" s="116"/>
      <c r="M705" s="116"/>
      <c r="N705" s="116"/>
      <c r="O705" s="116"/>
      <c r="P705" s="116"/>
      <c r="Q705" s="116"/>
      <c r="R705" s="116"/>
      <c r="S705" s="116"/>
      <c r="T705" s="116"/>
      <c r="U705" s="116"/>
    </row>
    <row r="706" spans="2:21" ht="12.95" customHeight="1">
      <c r="B706" s="522"/>
      <c r="C706" s="116"/>
      <c r="D706" s="116"/>
      <c r="E706" s="116"/>
      <c r="F706" s="116"/>
      <c r="G706" s="116"/>
      <c r="H706" s="116"/>
      <c r="I706" s="116"/>
      <c r="J706" s="116"/>
      <c r="K706" s="116"/>
      <c r="L706" s="116"/>
      <c r="M706" s="116"/>
      <c r="N706" s="116"/>
      <c r="O706" s="116"/>
      <c r="P706" s="116"/>
      <c r="Q706" s="116"/>
      <c r="R706" s="116"/>
      <c r="S706" s="116"/>
      <c r="T706" s="116"/>
      <c r="U706" s="116"/>
    </row>
    <row r="707" spans="2:21" ht="12.95" customHeight="1">
      <c r="B707" s="522"/>
      <c r="C707" s="116"/>
      <c r="D707" s="116"/>
      <c r="E707" s="116"/>
      <c r="F707" s="116"/>
      <c r="G707" s="116"/>
      <c r="H707" s="116"/>
      <c r="I707" s="116"/>
      <c r="J707" s="116"/>
      <c r="K707" s="116"/>
      <c r="L707" s="116"/>
      <c r="M707" s="116"/>
      <c r="N707" s="116"/>
      <c r="O707" s="116"/>
      <c r="P707" s="116"/>
      <c r="Q707" s="116"/>
      <c r="R707" s="116"/>
      <c r="S707" s="116"/>
      <c r="T707" s="116"/>
      <c r="U707" s="116"/>
    </row>
    <row r="708" spans="2:21" ht="12.95" customHeight="1">
      <c r="B708" s="522"/>
      <c r="C708" s="116"/>
      <c r="D708" s="116"/>
      <c r="E708" s="116"/>
      <c r="F708" s="116"/>
      <c r="G708" s="116"/>
      <c r="H708" s="116"/>
      <c r="I708" s="116"/>
      <c r="J708" s="116"/>
      <c r="K708" s="116"/>
      <c r="L708" s="116"/>
      <c r="M708" s="116"/>
      <c r="N708" s="116"/>
      <c r="O708" s="116"/>
      <c r="P708" s="116"/>
      <c r="Q708" s="116"/>
      <c r="R708" s="116"/>
      <c r="S708" s="116"/>
      <c r="T708" s="116"/>
      <c r="U708" s="116"/>
    </row>
    <row r="709" spans="2:21" ht="12.95" customHeight="1">
      <c r="B709" s="522"/>
      <c r="C709" s="116"/>
      <c r="D709" s="116"/>
      <c r="E709" s="116"/>
      <c r="F709" s="116"/>
      <c r="G709" s="116"/>
      <c r="H709" s="116"/>
      <c r="I709" s="116"/>
      <c r="J709" s="116"/>
      <c r="K709" s="116"/>
      <c r="L709" s="116"/>
      <c r="M709" s="116"/>
      <c r="N709" s="116"/>
      <c r="O709" s="116"/>
      <c r="P709" s="116"/>
      <c r="Q709" s="116"/>
      <c r="R709" s="116"/>
      <c r="S709" s="116"/>
      <c r="T709" s="116"/>
      <c r="U709" s="116"/>
    </row>
    <row r="710" spans="2:21" ht="12.95" customHeight="1">
      <c r="B710" s="522"/>
      <c r="C710" s="116"/>
      <c r="D710" s="116"/>
      <c r="E710" s="116"/>
      <c r="F710" s="116"/>
      <c r="G710" s="116"/>
      <c r="H710" s="116"/>
      <c r="I710" s="116"/>
      <c r="J710" s="116"/>
      <c r="K710" s="116"/>
      <c r="L710" s="116"/>
      <c r="M710" s="116"/>
      <c r="N710" s="116"/>
      <c r="O710" s="116"/>
      <c r="P710" s="116"/>
      <c r="Q710" s="116"/>
      <c r="R710" s="116"/>
      <c r="S710" s="116"/>
      <c r="T710" s="116"/>
      <c r="U710" s="116"/>
    </row>
    <row r="711" spans="2:21" ht="12.95" customHeight="1">
      <c r="B711" s="522"/>
      <c r="C711" s="116"/>
      <c r="D711" s="116"/>
      <c r="E711" s="116"/>
      <c r="F711" s="116"/>
      <c r="G711" s="116"/>
      <c r="H711" s="116"/>
      <c r="I711" s="116"/>
      <c r="J711" s="116"/>
      <c r="K711" s="116"/>
      <c r="L711" s="116"/>
      <c r="M711" s="116"/>
      <c r="N711" s="116"/>
      <c r="O711" s="116"/>
      <c r="P711" s="116"/>
      <c r="Q711" s="116"/>
      <c r="R711" s="116"/>
      <c r="S711" s="116"/>
      <c r="T711" s="116"/>
      <c r="U711" s="116"/>
    </row>
    <row r="712" spans="2:21" ht="12.95" customHeight="1">
      <c r="B712" s="522"/>
      <c r="C712" s="116"/>
      <c r="D712" s="116"/>
      <c r="E712" s="116"/>
      <c r="F712" s="116"/>
      <c r="G712" s="116"/>
      <c r="H712" s="116"/>
      <c r="I712" s="116"/>
      <c r="J712" s="116"/>
      <c r="K712" s="116"/>
      <c r="L712" s="116"/>
      <c r="M712" s="116"/>
      <c r="N712" s="116"/>
      <c r="O712" s="116"/>
      <c r="P712" s="116"/>
      <c r="Q712" s="116"/>
      <c r="R712" s="116"/>
      <c r="S712" s="116"/>
      <c r="T712" s="116"/>
      <c r="U712" s="116"/>
    </row>
    <row r="713" spans="2:21" ht="12.95" customHeight="1">
      <c r="B713" s="522"/>
      <c r="C713" s="116"/>
      <c r="D713" s="116"/>
      <c r="E713" s="116"/>
      <c r="F713" s="116"/>
      <c r="G713" s="116"/>
      <c r="H713" s="116"/>
      <c r="I713" s="116"/>
      <c r="J713" s="116"/>
      <c r="K713" s="116"/>
      <c r="L713" s="116"/>
      <c r="M713" s="116"/>
      <c r="N713" s="116"/>
      <c r="O713" s="116"/>
      <c r="P713" s="116"/>
      <c r="Q713" s="116"/>
      <c r="R713" s="116"/>
      <c r="S713" s="116"/>
      <c r="T713" s="116"/>
      <c r="U713" s="116"/>
    </row>
    <row r="714" spans="2:21" ht="12.95" customHeight="1">
      <c r="B714" s="522"/>
      <c r="C714" s="116"/>
      <c r="D714" s="116"/>
      <c r="E714" s="116"/>
      <c r="F714" s="116"/>
      <c r="G714" s="116"/>
      <c r="H714" s="116"/>
      <c r="I714" s="116"/>
      <c r="J714" s="116"/>
      <c r="K714" s="116"/>
      <c r="L714" s="116"/>
      <c r="M714" s="116"/>
      <c r="N714" s="116"/>
      <c r="O714" s="116"/>
      <c r="P714" s="116"/>
      <c r="Q714" s="116"/>
      <c r="R714" s="116"/>
      <c r="S714" s="116"/>
      <c r="T714" s="116"/>
      <c r="U714" s="116"/>
    </row>
    <row r="715" spans="2:21" ht="12.95" customHeight="1">
      <c r="B715" s="522"/>
      <c r="C715" s="116"/>
      <c r="D715" s="116"/>
      <c r="E715" s="116"/>
      <c r="F715" s="116"/>
      <c r="G715" s="116"/>
      <c r="H715" s="116"/>
      <c r="I715" s="116"/>
      <c r="J715" s="116"/>
      <c r="K715" s="116"/>
      <c r="L715" s="116"/>
      <c r="M715" s="116"/>
      <c r="N715" s="116"/>
      <c r="O715" s="116"/>
      <c r="P715" s="116"/>
      <c r="Q715" s="116"/>
      <c r="R715" s="116"/>
      <c r="S715" s="116"/>
      <c r="T715" s="116"/>
      <c r="U715" s="116"/>
    </row>
    <row r="716" spans="2:21" ht="12.95" customHeight="1">
      <c r="B716" s="522"/>
      <c r="C716" s="116"/>
      <c r="D716" s="116"/>
      <c r="E716" s="116"/>
      <c r="F716" s="116"/>
      <c r="G716" s="116"/>
      <c r="H716" s="116"/>
      <c r="I716" s="116"/>
      <c r="J716" s="116"/>
      <c r="K716" s="116"/>
      <c r="L716" s="116"/>
      <c r="M716" s="116"/>
      <c r="N716" s="116"/>
      <c r="O716" s="116"/>
      <c r="P716" s="116"/>
      <c r="Q716" s="116"/>
      <c r="R716" s="116"/>
      <c r="S716" s="116"/>
      <c r="T716" s="116"/>
      <c r="U716" s="116"/>
    </row>
    <row r="717" spans="2:21" ht="12.95" customHeight="1">
      <c r="B717" s="522"/>
      <c r="C717" s="116"/>
      <c r="D717" s="116"/>
      <c r="E717" s="116"/>
      <c r="F717" s="116"/>
      <c r="G717" s="116"/>
      <c r="H717" s="116"/>
      <c r="I717" s="116"/>
      <c r="J717" s="116"/>
      <c r="K717" s="116"/>
      <c r="L717" s="116"/>
      <c r="M717" s="116"/>
      <c r="N717" s="116"/>
      <c r="O717" s="116"/>
      <c r="P717" s="116"/>
      <c r="Q717" s="116"/>
      <c r="R717" s="116"/>
      <c r="S717" s="116"/>
      <c r="T717" s="116"/>
      <c r="U717" s="116"/>
    </row>
    <row r="718" spans="2:21" ht="12.95" customHeight="1">
      <c r="B718" s="522"/>
      <c r="C718" s="116"/>
      <c r="D718" s="116"/>
      <c r="E718" s="116"/>
      <c r="F718" s="116"/>
      <c r="G718" s="116"/>
      <c r="H718" s="116"/>
      <c r="I718" s="116"/>
      <c r="J718" s="116"/>
      <c r="K718" s="116"/>
      <c r="L718" s="116"/>
      <c r="M718" s="116"/>
      <c r="N718" s="116"/>
      <c r="O718" s="116"/>
      <c r="P718" s="116"/>
      <c r="Q718" s="116"/>
      <c r="R718" s="116"/>
      <c r="S718" s="116"/>
      <c r="T718" s="116"/>
      <c r="U718" s="116"/>
    </row>
    <row r="719" spans="2:21" ht="12.95" customHeight="1">
      <c r="B719" s="522"/>
      <c r="C719" s="116"/>
      <c r="D719" s="116"/>
      <c r="E719" s="116"/>
      <c r="F719" s="116"/>
      <c r="G719" s="116"/>
      <c r="H719" s="116"/>
      <c r="I719" s="116"/>
      <c r="J719" s="116"/>
      <c r="K719" s="116"/>
      <c r="L719" s="116"/>
      <c r="M719" s="116"/>
      <c r="N719" s="116"/>
      <c r="O719" s="116"/>
      <c r="P719" s="116"/>
      <c r="Q719" s="116"/>
      <c r="R719" s="116"/>
      <c r="S719" s="116"/>
      <c r="T719" s="116"/>
      <c r="U719" s="116"/>
    </row>
    <row r="720" spans="2:21" ht="12.95" customHeight="1">
      <c r="B720" s="522"/>
      <c r="C720" s="116"/>
      <c r="D720" s="116"/>
      <c r="E720" s="116"/>
      <c r="F720" s="116"/>
      <c r="G720" s="116"/>
      <c r="H720" s="116"/>
      <c r="I720" s="116"/>
      <c r="J720" s="116"/>
      <c r="K720" s="116"/>
      <c r="L720" s="116"/>
      <c r="M720" s="116"/>
      <c r="N720" s="116"/>
      <c r="O720" s="116"/>
      <c r="P720" s="116"/>
      <c r="Q720" s="116"/>
      <c r="R720" s="116"/>
      <c r="S720" s="116"/>
      <c r="T720" s="116"/>
      <c r="U720" s="116"/>
    </row>
    <row r="721" spans="2:21" ht="12.95" customHeight="1">
      <c r="B721" s="522"/>
      <c r="C721" s="116"/>
      <c r="D721" s="116"/>
      <c r="E721" s="116"/>
      <c r="F721" s="116"/>
      <c r="G721" s="116"/>
      <c r="H721" s="116"/>
      <c r="I721" s="116"/>
      <c r="J721" s="116"/>
      <c r="K721" s="116"/>
      <c r="L721" s="116"/>
      <c r="M721" s="116"/>
      <c r="N721" s="116"/>
      <c r="O721" s="116"/>
      <c r="P721" s="116"/>
      <c r="Q721" s="116"/>
      <c r="R721" s="116"/>
      <c r="S721" s="116"/>
      <c r="T721" s="116"/>
      <c r="U721" s="116"/>
    </row>
    <row r="722" spans="2:21" ht="12.95" customHeight="1">
      <c r="B722" s="522"/>
      <c r="C722" s="116"/>
      <c r="D722" s="116"/>
      <c r="E722" s="116"/>
      <c r="F722" s="116"/>
      <c r="G722" s="116"/>
      <c r="H722" s="116"/>
      <c r="I722" s="116"/>
      <c r="J722" s="116"/>
      <c r="K722" s="116"/>
      <c r="L722" s="116"/>
      <c r="M722" s="116"/>
      <c r="N722" s="116"/>
      <c r="O722" s="116"/>
      <c r="P722" s="116"/>
      <c r="Q722" s="116"/>
      <c r="R722" s="116"/>
      <c r="S722" s="116"/>
      <c r="T722" s="116"/>
      <c r="U722" s="116"/>
    </row>
    <row r="723" spans="2:21" ht="12.95" customHeight="1">
      <c r="B723" s="522"/>
      <c r="C723" s="116"/>
      <c r="D723" s="116"/>
      <c r="E723" s="116"/>
      <c r="F723" s="116"/>
      <c r="G723" s="116"/>
      <c r="H723" s="116"/>
      <c r="I723" s="116"/>
      <c r="J723" s="116"/>
      <c r="K723" s="116"/>
      <c r="L723" s="116"/>
      <c r="M723" s="116"/>
      <c r="N723" s="116"/>
      <c r="O723" s="116"/>
      <c r="P723" s="116"/>
      <c r="Q723" s="116"/>
      <c r="R723" s="116"/>
      <c r="S723" s="116"/>
      <c r="T723" s="116"/>
      <c r="U723" s="116"/>
    </row>
    <row r="724" spans="2:21" ht="12.95" customHeight="1">
      <c r="B724" s="522"/>
      <c r="C724" s="116"/>
      <c r="D724" s="116"/>
      <c r="E724" s="116"/>
      <c r="F724" s="116"/>
      <c r="G724" s="116"/>
      <c r="H724" s="116"/>
      <c r="I724" s="116"/>
      <c r="J724" s="116"/>
      <c r="K724" s="116"/>
      <c r="L724" s="116"/>
      <c r="M724" s="116"/>
      <c r="N724" s="116"/>
      <c r="O724" s="116"/>
      <c r="P724" s="116"/>
      <c r="Q724" s="116"/>
      <c r="R724" s="116"/>
      <c r="S724" s="116"/>
      <c r="T724" s="116"/>
      <c r="U724" s="116"/>
    </row>
    <row r="725" spans="2:21" ht="12.95" customHeight="1">
      <c r="B725" s="522"/>
      <c r="C725" s="116"/>
      <c r="D725" s="116"/>
      <c r="E725" s="116"/>
      <c r="F725" s="116"/>
      <c r="G725" s="116"/>
      <c r="H725" s="116"/>
      <c r="I725" s="116"/>
      <c r="J725" s="116"/>
      <c r="K725" s="116"/>
      <c r="L725" s="116"/>
      <c r="M725" s="116"/>
      <c r="N725" s="116"/>
      <c r="O725" s="116"/>
      <c r="P725" s="116"/>
      <c r="Q725" s="116"/>
      <c r="R725" s="116"/>
      <c r="S725" s="116"/>
      <c r="T725" s="116"/>
      <c r="U725" s="116"/>
    </row>
    <row r="726" spans="2:21" ht="12.95" customHeight="1">
      <c r="B726" s="522"/>
      <c r="C726" s="116"/>
      <c r="D726" s="116"/>
      <c r="E726" s="116"/>
      <c r="F726" s="116"/>
      <c r="G726" s="116"/>
      <c r="H726" s="116"/>
      <c r="I726" s="116"/>
      <c r="J726" s="116"/>
      <c r="K726" s="116"/>
      <c r="L726" s="116"/>
      <c r="M726" s="116"/>
      <c r="N726" s="116"/>
      <c r="O726" s="116"/>
      <c r="P726" s="116"/>
      <c r="Q726" s="116"/>
      <c r="R726" s="116"/>
      <c r="S726" s="116"/>
      <c r="T726" s="116"/>
      <c r="U726" s="116"/>
    </row>
    <row r="727" spans="2:21" ht="12.95" customHeight="1">
      <c r="B727" s="522"/>
      <c r="C727" s="116"/>
      <c r="D727" s="116"/>
      <c r="E727" s="116"/>
      <c r="F727" s="116"/>
      <c r="G727" s="116"/>
      <c r="H727" s="116"/>
      <c r="I727" s="116"/>
      <c r="J727" s="116"/>
      <c r="K727" s="116"/>
      <c r="L727" s="116"/>
      <c r="M727" s="116"/>
      <c r="N727" s="116"/>
      <c r="O727" s="116"/>
      <c r="P727" s="116"/>
      <c r="Q727" s="116"/>
      <c r="R727" s="116"/>
      <c r="S727" s="116"/>
      <c r="T727" s="116"/>
      <c r="U727" s="116"/>
    </row>
    <row r="728" spans="2:21" ht="12.95" customHeight="1">
      <c r="B728" s="522"/>
      <c r="C728" s="116"/>
      <c r="D728" s="116"/>
      <c r="E728" s="116"/>
      <c r="F728" s="116"/>
      <c r="G728" s="116"/>
      <c r="H728" s="116"/>
      <c r="I728" s="116"/>
      <c r="J728" s="116"/>
      <c r="K728" s="116"/>
      <c r="L728" s="116"/>
      <c r="M728" s="116"/>
      <c r="N728" s="116"/>
      <c r="O728" s="116"/>
      <c r="P728" s="116"/>
      <c r="Q728" s="116"/>
      <c r="R728" s="116"/>
      <c r="S728" s="116"/>
      <c r="T728" s="116"/>
      <c r="U728" s="116"/>
    </row>
    <row r="729" spans="2:21" ht="12.95" customHeight="1">
      <c r="B729" s="522"/>
      <c r="C729" s="116"/>
      <c r="D729" s="116"/>
      <c r="E729" s="116"/>
      <c r="F729" s="116"/>
      <c r="G729" s="116"/>
      <c r="H729" s="116"/>
      <c r="I729" s="116"/>
      <c r="J729" s="116"/>
      <c r="K729" s="116"/>
      <c r="L729" s="116"/>
      <c r="M729" s="116"/>
      <c r="N729" s="116"/>
      <c r="O729" s="116"/>
      <c r="P729" s="116"/>
      <c r="Q729" s="116"/>
      <c r="R729" s="116"/>
      <c r="S729" s="116"/>
      <c r="T729" s="116"/>
      <c r="U729" s="116"/>
    </row>
    <row r="730" spans="2:21" ht="12.95" customHeight="1">
      <c r="B730" s="522"/>
      <c r="C730" s="116"/>
      <c r="D730" s="116"/>
      <c r="E730" s="116"/>
      <c r="F730" s="116"/>
      <c r="G730" s="116"/>
      <c r="H730" s="116"/>
      <c r="I730" s="116"/>
      <c r="J730" s="116"/>
      <c r="K730" s="116"/>
      <c r="L730" s="116"/>
      <c r="M730" s="116"/>
      <c r="N730" s="116"/>
      <c r="O730" s="116"/>
      <c r="P730" s="116"/>
      <c r="Q730" s="116"/>
      <c r="R730" s="116"/>
      <c r="S730" s="116"/>
      <c r="T730" s="116"/>
      <c r="U730" s="116"/>
    </row>
    <row r="731" spans="2:21" ht="12.95" customHeight="1">
      <c r="B731" s="522"/>
      <c r="C731" s="116"/>
      <c r="D731" s="116"/>
      <c r="E731" s="116"/>
      <c r="F731" s="116"/>
      <c r="G731" s="116"/>
      <c r="H731" s="116"/>
      <c r="I731" s="116"/>
      <c r="J731" s="116"/>
      <c r="K731" s="116"/>
      <c r="L731" s="116"/>
      <c r="M731" s="116"/>
      <c r="N731" s="116"/>
      <c r="O731" s="116"/>
      <c r="P731" s="116"/>
      <c r="Q731" s="116"/>
      <c r="R731" s="116"/>
      <c r="S731" s="116"/>
      <c r="T731" s="116"/>
      <c r="U731" s="116"/>
    </row>
    <row r="732" spans="2:21" ht="12.95" customHeight="1">
      <c r="B732" s="522"/>
      <c r="C732" s="116"/>
      <c r="D732" s="116"/>
      <c r="E732" s="116"/>
      <c r="F732" s="116"/>
      <c r="G732" s="116"/>
      <c r="H732" s="116"/>
      <c r="I732" s="116"/>
      <c r="J732" s="116"/>
      <c r="K732" s="116"/>
      <c r="L732" s="116"/>
      <c r="M732" s="116"/>
      <c r="N732" s="116"/>
      <c r="O732" s="116"/>
      <c r="P732" s="116"/>
      <c r="Q732" s="116"/>
      <c r="R732" s="116"/>
      <c r="S732" s="116"/>
      <c r="T732" s="116"/>
      <c r="U732" s="116"/>
    </row>
    <row r="733" spans="2:21" ht="12.95" customHeight="1">
      <c r="B733" s="522"/>
      <c r="C733" s="116"/>
      <c r="D733" s="116"/>
      <c r="E733" s="116"/>
      <c r="F733" s="116"/>
      <c r="G733" s="116"/>
      <c r="H733" s="116"/>
      <c r="I733" s="116"/>
      <c r="J733" s="116"/>
      <c r="K733" s="116"/>
      <c r="L733" s="116"/>
      <c r="M733" s="116"/>
      <c r="N733" s="116"/>
      <c r="O733" s="116"/>
      <c r="P733" s="116"/>
      <c r="Q733" s="116"/>
      <c r="R733" s="116"/>
      <c r="S733" s="116"/>
      <c r="T733" s="116"/>
      <c r="U733" s="116"/>
    </row>
    <row r="734" spans="2:21" ht="12.95" customHeight="1">
      <c r="B734" s="522"/>
      <c r="C734" s="116"/>
      <c r="D734" s="116"/>
      <c r="E734" s="116"/>
      <c r="F734" s="116"/>
      <c r="G734" s="116"/>
      <c r="H734" s="116"/>
      <c r="I734" s="116"/>
      <c r="J734" s="116"/>
      <c r="K734" s="116"/>
      <c r="L734" s="116"/>
      <c r="M734" s="116"/>
      <c r="N734" s="116"/>
      <c r="O734" s="116"/>
      <c r="P734" s="116"/>
      <c r="Q734" s="116"/>
      <c r="R734" s="116"/>
      <c r="S734" s="116"/>
      <c r="T734" s="116"/>
      <c r="U734" s="116"/>
    </row>
    <row r="735" spans="2:21" ht="12.95" customHeight="1">
      <c r="B735" s="522"/>
      <c r="C735" s="116"/>
      <c r="D735" s="116"/>
      <c r="E735" s="116"/>
      <c r="F735" s="116"/>
      <c r="G735" s="116"/>
      <c r="H735" s="116"/>
      <c r="I735" s="116"/>
      <c r="J735" s="116"/>
      <c r="K735" s="116"/>
      <c r="L735" s="116"/>
      <c r="M735" s="116"/>
      <c r="N735" s="116"/>
      <c r="O735" s="116"/>
      <c r="P735" s="116"/>
      <c r="Q735" s="116"/>
      <c r="R735" s="116"/>
      <c r="S735" s="116"/>
      <c r="T735" s="116"/>
      <c r="U735" s="116"/>
    </row>
    <row r="736" spans="2:21" ht="12.95" customHeight="1">
      <c r="B736" s="522"/>
      <c r="C736" s="116"/>
      <c r="D736" s="116"/>
      <c r="E736" s="116"/>
      <c r="F736" s="116"/>
      <c r="G736" s="116"/>
      <c r="H736" s="116"/>
      <c r="I736" s="116"/>
      <c r="J736" s="116"/>
      <c r="K736" s="116"/>
      <c r="L736" s="116"/>
      <c r="M736" s="116"/>
      <c r="N736" s="116"/>
      <c r="O736" s="116"/>
      <c r="P736" s="116"/>
      <c r="Q736" s="116"/>
      <c r="R736" s="116"/>
      <c r="S736" s="116"/>
      <c r="T736" s="116"/>
      <c r="U736" s="116"/>
    </row>
    <row r="737" spans="2:21" ht="12.95" customHeight="1">
      <c r="B737" s="522"/>
      <c r="C737" s="116"/>
      <c r="D737" s="116"/>
      <c r="E737" s="116"/>
      <c r="F737" s="116"/>
      <c r="G737" s="116"/>
      <c r="H737" s="116"/>
      <c r="I737" s="116"/>
      <c r="J737" s="116"/>
      <c r="K737" s="116"/>
      <c r="L737" s="116"/>
      <c r="M737" s="116"/>
      <c r="N737" s="116"/>
      <c r="O737" s="116"/>
      <c r="P737" s="116"/>
      <c r="Q737" s="116"/>
      <c r="R737" s="116"/>
      <c r="S737" s="116"/>
      <c r="T737" s="116"/>
      <c r="U737" s="116"/>
    </row>
    <row r="738" spans="2:21" ht="12.95" customHeight="1">
      <c r="B738" s="522"/>
      <c r="C738" s="116"/>
      <c r="D738" s="116"/>
      <c r="E738" s="116"/>
      <c r="F738" s="116"/>
      <c r="G738" s="116"/>
      <c r="H738" s="116"/>
      <c r="I738" s="116"/>
      <c r="J738" s="116"/>
      <c r="K738" s="116"/>
      <c r="L738" s="116"/>
      <c r="M738" s="116"/>
      <c r="N738" s="116"/>
      <c r="O738" s="116"/>
      <c r="P738" s="116"/>
      <c r="Q738" s="116"/>
      <c r="R738" s="116"/>
      <c r="S738" s="116"/>
      <c r="T738" s="116"/>
      <c r="U738" s="116"/>
    </row>
    <row r="739" spans="2:21" ht="12.95" customHeight="1">
      <c r="B739" s="522"/>
      <c r="C739" s="116"/>
      <c r="D739" s="116"/>
      <c r="E739" s="116"/>
      <c r="F739" s="116"/>
      <c r="G739" s="116"/>
      <c r="H739" s="116"/>
      <c r="I739" s="116"/>
      <c r="J739" s="116"/>
      <c r="K739" s="116"/>
      <c r="L739" s="116"/>
      <c r="M739" s="116"/>
      <c r="N739" s="116"/>
      <c r="O739" s="116"/>
      <c r="P739" s="116"/>
      <c r="Q739" s="116"/>
      <c r="R739" s="116"/>
      <c r="S739" s="116"/>
      <c r="T739" s="116"/>
      <c r="U739" s="116"/>
    </row>
    <row r="740" spans="2:21" ht="12.95" customHeight="1">
      <c r="B740" s="522"/>
      <c r="C740" s="116"/>
      <c r="D740" s="116"/>
      <c r="E740" s="116"/>
      <c r="F740" s="116"/>
      <c r="G740" s="116"/>
      <c r="H740" s="116"/>
      <c r="I740" s="116"/>
      <c r="J740" s="116"/>
      <c r="K740" s="116"/>
      <c r="L740" s="116"/>
      <c r="M740" s="116"/>
      <c r="N740" s="116"/>
      <c r="O740" s="116"/>
      <c r="P740" s="116"/>
      <c r="Q740" s="116"/>
      <c r="R740" s="116"/>
      <c r="S740" s="116"/>
      <c r="T740" s="116"/>
      <c r="U740" s="116"/>
    </row>
    <row r="741" spans="2:21" ht="12.95" customHeight="1">
      <c r="B741" s="522"/>
      <c r="C741" s="116"/>
      <c r="D741" s="116"/>
      <c r="E741" s="116"/>
      <c r="F741" s="116"/>
      <c r="G741" s="116"/>
      <c r="H741" s="116"/>
      <c r="I741" s="116"/>
      <c r="J741" s="116"/>
      <c r="K741" s="116"/>
      <c r="L741" s="116"/>
      <c r="M741" s="116"/>
      <c r="N741" s="116"/>
      <c r="O741" s="116"/>
      <c r="P741" s="116"/>
      <c r="Q741" s="116"/>
      <c r="R741" s="116"/>
      <c r="S741" s="116"/>
      <c r="T741" s="116"/>
      <c r="U741" s="116"/>
    </row>
    <row r="742" spans="2:21" ht="12.95" customHeight="1">
      <c r="B742" s="522"/>
      <c r="C742" s="116"/>
      <c r="D742" s="116"/>
      <c r="E742" s="116"/>
      <c r="F742" s="116"/>
      <c r="G742" s="116"/>
      <c r="H742" s="116"/>
      <c r="I742" s="116"/>
      <c r="J742" s="116"/>
      <c r="K742" s="116"/>
      <c r="L742" s="116"/>
      <c r="M742" s="116"/>
      <c r="N742" s="116"/>
      <c r="O742" s="116"/>
      <c r="P742" s="116"/>
      <c r="Q742" s="116"/>
      <c r="R742" s="116"/>
      <c r="S742" s="116"/>
      <c r="T742" s="116"/>
      <c r="U742" s="116"/>
    </row>
    <row r="743" spans="2:21" ht="12.95" customHeight="1">
      <c r="B743" s="522"/>
      <c r="C743" s="116"/>
      <c r="D743" s="116"/>
      <c r="E743" s="116"/>
      <c r="F743" s="116"/>
      <c r="G743" s="116"/>
      <c r="H743" s="116"/>
      <c r="I743" s="116"/>
      <c r="J743" s="116"/>
      <c r="K743" s="116"/>
      <c r="L743" s="116"/>
      <c r="M743" s="116"/>
      <c r="N743" s="116"/>
      <c r="O743" s="116"/>
      <c r="P743" s="116"/>
      <c r="Q743" s="116"/>
      <c r="R743" s="116"/>
      <c r="S743" s="116"/>
      <c r="T743" s="116"/>
      <c r="U743" s="116"/>
    </row>
    <row r="744" spans="2:21" ht="12.95" customHeight="1">
      <c r="B744" s="522"/>
      <c r="C744" s="116"/>
      <c r="D744" s="116"/>
      <c r="E744" s="116"/>
      <c r="F744" s="116"/>
      <c r="G744" s="116"/>
      <c r="H744" s="116"/>
      <c r="I744" s="116"/>
      <c r="J744" s="116"/>
      <c r="K744" s="116"/>
      <c r="L744" s="116"/>
      <c r="M744" s="116"/>
      <c r="N744" s="116"/>
      <c r="O744" s="116"/>
      <c r="P744" s="116"/>
      <c r="Q744" s="116"/>
      <c r="R744" s="116"/>
      <c r="S744" s="116"/>
      <c r="T744" s="116"/>
      <c r="U744" s="116"/>
    </row>
    <row r="745" spans="2:21" ht="12.95" customHeight="1">
      <c r="B745" s="522"/>
      <c r="C745" s="116"/>
      <c r="D745" s="116"/>
      <c r="E745" s="116"/>
      <c r="F745" s="116"/>
      <c r="G745" s="116"/>
      <c r="H745" s="116"/>
      <c r="I745" s="116"/>
      <c r="J745" s="116"/>
      <c r="K745" s="116"/>
      <c r="L745" s="116"/>
      <c r="M745" s="116"/>
      <c r="N745" s="116"/>
      <c r="O745" s="116"/>
      <c r="P745" s="116"/>
      <c r="Q745" s="116"/>
      <c r="R745" s="116"/>
      <c r="S745" s="116"/>
      <c r="T745" s="116"/>
      <c r="U745" s="116"/>
    </row>
    <row r="746" spans="2:21" ht="12.95" customHeight="1">
      <c r="B746" s="522"/>
      <c r="C746" s="116"/>
      <c r="D746" s="116"/>
      <c r="E746" s="116"/>
      <c r="F746" s="116"/>
      <c r="G746" s="116"/>
      <c r="H746" s="116"/>
      <c r="I746" s="116"/>
      <c r="J746" s="116"/>
      <c r="K746" s="116"/>
      <c r="L746" s="116"/>
      <c r="M746" s="116"/>
      <c r="N746" s="116"/>
      <c r="O746" s="116"/>
      <c r="P746" s="116"/>
      <c r="Q746" s="116"/>
      <c r="R746" s="116"/>
      <c r="S746" s="116"/>
      <c r="T746" s="116"/>
      <c r="U746" s="116"/>
    </row>
    <row r="747" spans="2:21" ht="12.95" customHeight="1">
      <c r="B747" s="522"/>
      <c r="C747" s="116"/>
      <c r="D747" s="116"/>
      <c r="E747" s="116"/>
      <c r="F747" s="116"/>
      <c r="G747" s="116"/>
      <c r="H747" s="116"/>
      <c r="I747" s="116"/>
      <c r="J747" s="116"/>
      <c r="K747" s="116"/>
      <c r="L747" s="116"/>
      <c r="M747" s="116"/>
      <c r="N747" s="116"/>
      <c r="O747" s="116"/>
      <c r="P747" s="116"/>
      <c r="Q747" s="116"/>
      <c r="R747" s="116"/>
      <c r="S747" s="116"/>
      <c r="T747" s="116"/>
      <c r="U747" s="116"/>
    </row>
    <row r="748" spans="2:21" ht="12.95" customHeight="1">
      <c r="B748" s="522"/>
      <c r="C748" s="116"/>
      <c r="D748" s="116"/>
      <c r="E748" s="116"/>
      <c r="F748" s="116"/>
      <c r="G748" s="116"/>
      <c r="H748" s="116"/>
      <c r="I748" s="116"/>
      <c r="J748" s="116"/>
      <c r="K748" s="116"/>
      <c r="L748" s="116"/>
      <c r="M748" s="116"/>
      <c r="N748" s="116"/>
      <c r="O748" s="116"/>
      <c r="P748" s="116"/>
      <c r="Q748" s="116"/>
      <c r="R748" s="116"/>
      <c r="S748" s="116"/>
      <c r="T748" s="116"/>
      <c r="U748" s="116"/>
    </row>
    <row r="749" spans="2:21" ht="12.95" customHeight="1">
      <c r="B749" s="522"/>
      <c r="C749" s="116"/>
      <c r="D749" s="116"/>
      <c r="E749" s="116"/>
      <c r="F749" s="116"/>
      <c r="G749" s="116"/>
      <c r="H749" s="116"/>
      <c r="I749" s="116"/>
      <c r="J749" s="116"/>
      <c r="K749" s="116"/>
      <c r="L749" s="116"/>
      <c r="M749" s="116"/>
      <c r="N749" s="116"/>
      <c r="O749" s="116"/>
      <c r="P749" s="116"/>
      <c r="Q749" s="116"/>
      <c r="R749" s="116"/>
      <c r="S749" s="116"/>
      <c r="T749" s="116"/>
      <c r="U749" s="116"/>
    </row>
    <row r="750" spans="2:21" ht="12.95" customHeight="1">
      <c r="B750" s="522"/>
      <c r="C750" s="116"/>
      <c r="D750" s="116"/>
      <c r="E750" s="116"/>
      <c r="F750" s="116"/>
      <c r="G750" s="116"/>
      <c r="H750" s="116"/>
      <c r="I750" s="116"/>
      <c r="J750" s="116"/>
      <c r="K750" s="116"/>
      <c r="L750" s="116"/>
      <c r="M750" s="116"/>
      <c r="N750" s="116"/>
      <c r="O750" s="116"/>
      <c r="P750" s="116"/>
      <c r="Q750" s="116"/>
      <c r="R750" s="116"/>
      <c r="S750" s="116"/>
      <c r="T750" s="116"/>
      <c r="U750" s="116"/>
    </row>
    <row r="751" spans="2:21" ht="12.95" customHeight="1">
      <c r="B751" s="522"/>
      <c r="C751" s="116"/>
      <c r="D751" s="116"/>
      <c r="E751" s="116"/>
      <c r="F751" s="116"/>
      <c r="G751" s="116"/>
      <c r="H751" s="116"/>
      <c r="I751" s="116"/>
      <c r="J751" s="116"/>
      <c r="K751" s="116"/>
      <c r="L751" s="116"/>
      <c r="M751" s="116"/>
      <c r="N751" s="116"/>
      <c r="O751" s="116"/>
      <c r="P751" s="116"/>
      <c r="Q751" s="116"/>
      <c r="R751" s="116"/>
      <c r="S751" s="116"/>
      <c r="T751" s="116"/>
      <c r="U751" s="116"/>
    </row>
    <row r="752" spans="2:21" ht="12.95" customHeight="1">
      <c r="B752" s="522"/>
      <c r="C752" s="116"/>
      <c r="D752" s="116"/>
      <c r="E752" s="116"/>
      <c r="F752" s="116"/>
      <c r="G752" s="116"/>
      <c r="H752" s="116"/>
      <c r="I752" s="116"/>
      <c r="J752" s="116"/>
      <c r="K752" s="116"/>
      <c r="L752" s="116"/>
      <c r="M752" s="116"/>
      <c r="N752" s="116"/>
      <c r="O752" s="116"/>
      <c r="P752" s="116"/>
      <c r="Q752" s="116"/>
      <c r="R752" s="116"/>
      <c r="S752" s="116"/>
      <c r="T752" s="116"/>
      <c r="U752" s="116"/>
    </row>
    <row r="753" spans="2:21" ht="12.95" customHeight="1">
      <c r="B753" s="522"/>
      <c r="C753" s="116"/>
      <c r="D753" s="116"/>
      <c r="E753" s="116"/>
      <c r="F753" s="116"/>
      <c r="G753" s="116"/>
      <c r="H753" s="116"/>
      <c r="I753" s="116"/>
      <c r="J753" s="116"/>
      <c r="K753" s="116"/>
      <c r="L753" s="116"/>
      <c r="M753" s="116"/>
      <c r="N753" s="116"/>
      <c r="O753" s="116"/>
      <c r="P753" s="116"/>
      <c r="Q753" s="116"/>
      <c r="R753" s="116"/>
      <c r="S753" s="116"/>
      <c r="T753" s="116"/>
      <c r="U753" s="116"/>
    </row>
    <row r="754" spans="2:21" ht="12.95" customHeight="1">
      <c r="B754" s="522"/>
      <c r="C754" s="116"/>
      <c r="D754" s="116"/>
      <c r="E754" s="116"/>
      <c r="F754" s="116"/>
      <c r="G754" s="116"/>
      <c r="H754" s="116"/>
      <c r="I754" s="116"/>
      <c r="J754" s="116"/>
      <c r="K754" s="116"/>
      <c r="L754" s="116"/>
      <c r="M754" s="116"/>
      <c r="N754" s="116"/>
      <c r="O754" s="116"/>
      <c r="P754" s="116"/>
      <c r="Q754" s="116"/>
      <c r="R754" s="116"/>
      <c r="S754" s="116"/>
      <c r="T754" s="116"/>
      <c r="U754" s="116"/>
    </row>
    <row r="755" spans="2:21" ht="12.95" customHeight="1">
      <c r="B755" s="522"/>
      <c r="C755" s="116"/>
      <c r="D755" s="116"/>
      <c r="E755" s="116"/>
      <c r="F755" s="116"/>
      <c r="G755" s="116"/>
      <c r="H755" s="116"/>
      <c r="I755" s="116"/>
      <c r="J755" s="116"/>
      <c r="K755" s="116"/>
      <c r="L755" s="116"/>
      <c r="M755" s="116"/>
      <c r="N755" s="116"/>
      <c r="O755" s="116"/>
      <c r="P755" s="116"/>
      <c r="Q755" s="116"/>
      <c r="R755" s="116"/>
      <c r="S755" s="116"/>
      <c r="T755" s="116"/>
      <c r="U755" s="116"/>
    </row>
    <row r="756" spans="2:21" ht="12.95" customHeight="1">
      <c r="B756" s="522"/>
      <c r="C756" s="116"/>
      <c r="D756" s="116"/>
      <c r="E756" s="116"/>
      <c r="F756" s="116"/>
      <c r="G756" s="116"/>
      <c r="H756" s="116"/>
      <c r="I756" s="116"/>
      <c r="J756" s="116"/>
      <c r="K756" s="116"/>
      <c r="L756" s="116"/>
      <c r="M756" s="116"/>
      <c r="N756" s="116"/>
      <c r="O756" s="116"/>
      <c r="P756" s="116"/>
      <c r="Q756" s="116"/>
      <c r="R756" s="116"/>
      <c r="S756" s="116"/>
      <c r="T756" s="116"/>
      <c r="U756" s="116"/>
    </row>
    <row r="757" spans="2:21" ht="12.95" customHeight="1">
      <c r="B757" s="522"/>
      <c r="C757" s="116"/>
      <c r="D757" s="116"/>
      <c r="E757" s="116"/>
      <c r="F757" s="116"/>
      <c r="G757" s="116"/>
      <c r="H757" s="116"/>
      <c r="I757" s="116"/>
      <c r="J757" s="116"/>
      <c r="K757" s="116"/>
      <c r="L757" s="116"/>
      <c r="M757" s="116"/>
      <c r="N757" s="116"/>
      <c r="O757" s="116"/>
      <c r="P757" s="116"/>
      <c r="Q757" s="116"/>
      <c r="R757" s="116"/>
      <c r="S757" s="116"/>
      <c r="T757" s="116"/>
      <c r="U757" s="116"/>
    </row>
    <row r="758" spans="2:21" ht="12.95" customHeight="1">
      <c r="B758" s="522"/>
      <c r="C758" s="116"/>
      <c r="D758" s="116"/>
      <c r="E758" s="116"/>
      <c r="F758" s="116"/>
      <c r="G758" s="116"/>
      <c r="H758" s="116"/>
      <c r="I758" s="116"/>
      <c r="J758" s="116"/>
      <c r="K758" s="116"/>
      <c r="L758" s="116"/>
      <c r="M758" s="116"/>
      <c r="N758" s="116"/>
      <c r="O758" s="116"/>
      <c r="P758" s="116"/>
      <c r="Q758" s="116"/>
      <c r="R758" s="116"/>
      <c r="S758" s="116"/>
      <c r="T758" s="116"/>
      <c r="U758" s="116"/>
    </row>
    <row r="759" spans="2:21" ht="12.95" customHeight="1">
      <c r="B759" s="522"/>
      <c r="C759" s="116"/>
      <c r="D759" s="116"/>
      <c r="E759" s="116"/>
      <c r="F759" s="116"/>
      <c r="G759" s="116"/>
      <c r="H759" s="116"/>
      <c r="I759" s="116"/>
      <c r="J759" s="116"/>
      <c r="K759" s="116"/>
      <c r="L759" s="116"/>
      <c r="M759" s="116"/>
      <c r="N759" s="116"/>
      <c r="O759" s="116"/>
      <c r="P759" s="116"/>
      <c r="Q759" s="116"/>
      <c r="R759" s="116"/>
      <c r="S759" s="116"/>
      <c r="T759" s="116"/>
      <c r="U759" s="116"/>
    </row>
    <row r="760" spans="2:21" ht="12.95" customHeight="1">
      <c r="B760" s="522"/>
      <c r="C760" s="116"/>
      <c r="D760" s="116"/>
      <c r="E760" s="116"/>
      <c r="F760" s="116"/>
      <c r="G760" s="116"/>
      <c r="H760" s="116"/>
      <c r="I760" s="116"/>
      <c r="J760" s="116"/>
      <c r="K760" s="116"/>
      <c r="L760" s="116"/>
      <c r="M760" s="116"/>
      <c r="N760" s="116"/>
      <c r="O760" s="116"/>
      <c r="P760" s="116"/>
      <c r="Q760" s="116"/>
      <c r="R760" s="116"/>
      <c r="S760" s="116"/>
      <c r="T760" s="116"/>
      <c r="U760" s="116"/>
    </row>
    <row r="761" spans="2:21" ht="12.95" customHeight="1">
      <c r="B761" s="522"/>
      <c r="C761" s="116"/>
      <c r="D761" s="116"/>
      <c r="E761" s="116"/>
      <c r="F761" s="116"/>
      <c r="G761" s="116"/>
      <c r="H761" s="116"/>
      <c r="I761" s="116"/>
      <c r="J761" s="116"/>
      <c r="K761" s="116"/>
      <c r="L761" s="116"/>
      <c r="M761" s="116"/>
      <c r="N761" s="116"/>
      <c r="O761" s="116"/>
      <c r="P761" s="116"/>
      <c r="Q761" s="116"/>
      <c r="R761" s="116"/>
      <c r="S761" s="116"/>
      <c r="T761" s="116"/>
      <c r="U761" s="116"/>
    </row>
    <row r="762" spans="2:21" ht="12.95" customHeight="1">
      <c r="B762" s="522"/>
      <c r="C762" s="116"/>
      <c r="D762" s="116"/>
      <c r="E762" s="116"/>
      <c r="F762" s="116"/>
      <c r="G762" s="116"/>
      <c r="H762" s="116"/>
      <c r="I762" s="116"/>
      <c r="J762" s="116"/>
      <c r="K762" s="116"/>
      <c r="L762" s="116"/>
      <c r="M762" s="116"/>
      <c r="N762" s="116"/>
      <c r="O762" s="116"/>
      <c r="P762" s="116"/>
      <c r="Q762" s="116"/>
      <c r="R762" s="116"/>
      <c r="S762" s="116"/>
      <c r="T762" s="116"/>
      <c r="U762" s="116"/>
    </row>
    <row r="763" spans="2:21" ht="12.95" customHeight="1">
      <c r="B763" s="522"/>
      <c r="C763" s="116"/>
      <c r="D763" s="116"/>
      <c r="E763" s="116"/>
      <c r="F763" s="116"/>
      <c r="G763" s="116"/>
      <c r="H763" s="116"/>
      <c r="I763" s="116"/>
      <c r="J763" s="116"/>
      <c r="K763" s="116"/>
      <c r="L763" s="116"/>
      <c r="M763" s="116"/>
      <c r="N763" s="116"/>
      <c r="O763" s="116"/>
      <c r="P763" s="116"/>
      <c r="Q763" s="116"/>
      <c r="R763" s="116"/>
      <c r="S763" s="116"/>
      <c r="T763" s="116"/>
      <c r="U763" s="116"/>
    </row>
    <row r="764" spans="2:21" ht="12.95" customHeight="1">
      <c r="B764" s="522"/>
      <c r="C764" s="116"/>
      <c r="D764" s="116"/>
      <c r="E764" s="116"/>
      <c r="F764" s="116"/>
      <c r="G764" s="116"/>
      <c r="H764" s="116"/>
      <c r="I764" s="116"/>
      <c r="J764" s="116"/>
      <c r="K764" s="116"/>
      <c r="L764" s="116"/>
      <c r="M764" s="116"/>
      <c r="N764" s="116"/>
      <c r="O764" s="116"/>
      <c r="P764" s="116"/>
      <c r="Q764" s="116"/>
      <c r="R764" s="116"/>
      <c r="S764" s="116"/>
      <c r="T764" s="116"/>
      <c r="U764" s="116"/>
    </row>
    <row r="765" spans="2:21" ht="12.95" customHeight="1">
      <c r="B765" s="522"/>
      <c r="C765" s="116"/>
      <c r="D765" s="116"/>
      <c r="E765" s="116"/>
      <c r="F765" s="116"/>
      <c r="G765" s="116"/>
      <c r="H765" s="116"/>
      <c r="I765" s="116"/>
      <c r="J765" s="116"/>
      <c r="K765" s="116"/>
      <c r="L765" s="116"/>
      <c r="M765" s="116"/>
      <c r="N765" s="116"/>
      <c r="O765" s="116"/>
      <c r="P765" s="116"/>
      <c r="Q765" s="116"/>
      <c r="R765" s="116"/>
      <c r="S765" s="116"/>
      <c r="T765" s="116"/>
      <c r="U765" s="116"/>
    </row>
    <row r="766" spans="2:21" ht="12.95" customHeight="1">
      <c r="B766" s="522"/>
      <c r="C766" s="116"/>
      <c r="D766" s="116"/>
      <c r="E766" s="116"/>
      <c r="F766" s="116"/>
      <c r="G766" s="116"/>
      <c r="H766" s="116"/>
      <c r="I766" s="116"/>
      <c r="J766" s="116"/>
      <c r="K766" s="116"/>
      <c r="L766" s="116"/>
      <c r="M766" s="116"/>
      <c r="N766" s="116"/>
      <c r="O766" s="116"/>
      <c r="P766" s="116"/>
      <c r="Q766" s="116"/>
      <c r="R766" s="116"/>
      <c r="S766" s="116"/>
      <c r="T766" s="116"/>
      <c r="U766" s="116"/>
    </row>
    <row r="767" spans="2:21" ht="12.95" customHeight="1">
      <c r="B767" s="522"/>
      <c r="C767" s="116"/>
      <c r="D767" s="116"/>
      <c r="E767" s="116"/>
      <c r="F767" s="116"/>
      <c r="G767" s="116"/>
      <c r="H767" s="116"/>
      <c r="I767" s="116"/>
      <c r="J767" s="116"/>
      <c r="K767" s="116"/>
      <c r="L767" s="116"/>
      <c r="M767" s="116"/>
      <c r="N767" s="116"/>
      <c r="O767" s="116"/>
      <c r="P767" s="116"/>
      <c r="Q767" s="116"/>
      <c r="R767" s="116"/>
      <c r="S767" s="116"/>
      <c r="T767" s="116"/>
      <c r="U767" s="116"/>
    </row>
    <row r="768" spans="2:21" ht="12.95" customHeight="1">
      <c r="B768" s="522"/>
      <c r="C768" s="116"/>
      <c r="D768" s="116"/>
      <c r="E768" s="116"/>
      <c r="F768" s="116"/>
      <c r="G768" s="116"/>
      <c r="H768" s="116"/>
      <c r="I768" s="116"/>
      <c r="J768" s="116"/>
      <c r="K768" s="116"/>
      <c r="L768" s="116"/>
      <c r="M768" s="116"/>
      <c r="N768" s="116"/>
      <c r="O768" s="116"/>
      <c r="P768" s="116"/>
      <c r="Q768" s="116"/>
      <c r="R768" s="116"/>
      <c r="S768" s="116"/>
      <c r="T768" s="116"/>
      <c r="U768" s="116"/>
    </row>
    <row r="769" spans="2:21" ht="12.95" customHeight="1">
      <c r="B769" s="522"/>
      <c r="C769" s="116"/>
      <c r="D769" s="116"/>
      <c r="E769" s="116"/>
      <c r="F769" s="116"/>
      <c r="G769" s="116"/>
      <c r="H769" s="116"/>
      <c r="I769" s="116"/>
      <c r="J769" s="116"/>
      <c r="K769" s="116"/>
      <c r="L769" s="116"/>
      <c r="M769" s="116"/>
      <c r="N769" s="116"/>
      <c r="O769" s="116"/>
      <c r="P769" s="116"/>
      <c r="Q769" s="116"/>
      <c r="R769" s="116"/>
      <c r="S769" s="116"/>
      <c r="T769" s="116"/>
      <c r="U769" s="116"/>
    </row>
    <row r="770" spans="2:21" ht="12.95" customHeight="1">
      <c r="B770" s="522"/>
      <c r="C770" s="116"/>
      <c r="D770" s="116"/>
      <c r="E770" s="116"/>
      <c r="F770" s="116"/>
      <c r="G770" s="116"/>
      <c r="H770" s="116"/>
      <c r="I770" s="116"/>
      <c r="J770" s="116"/>
      <c r="K770" s="116"/>
      <c r="L770" s="116"/>
      <c r="M770" s="116"/>
      <c r="N770" s="116"/>
      <c r="O770" s="116"/>
      <c r="P770" s="116"/>
      <c r="Q770" s="116"/>
      <c r="R770" s="116"/>
      <c r="S770" s="116"/>
      <c r="T770" s="116"/>
      <c r="U770" s="116"/>
    </row>
    <row r="771" spans="2:21" ht="12.95" customHeight="1">
      <c r="B771" s="522"/>
      <c r="C771" s="116"/>
      <c r="D771" s="116"/>
      <c r="E771" s="116"/>
      <c r="F771" s="116"/>
      <c r="G771" s="116"/>
      <c r="H771" s="116"/>
      <c r="I771" s="116"/>
      <c r="J771" s="116"/>
      <c r="K771" s="116"/>
      <c r="L771" s="116"/>
      <c r="M771" s="116"/>
      <c r="N771" s="116"/>
      <c r="O771" s="116"/>
      <c r="P771" s="116"/>
      <c r="Q771" s="116"/>
      <c r="R771" s="116"/>
      <c r="S771" s="116"/>
      <c r="T771" s="116"/>
      <c r="U771" s="116"/>
    </row>
    <row r="772" spans="2:21" ht="12.95" customHeight="1">
      <c r="B772" s="522"/>
      <c r="C772" s="116"/>
      <c r="D772" s="116"/>
      <c r="E772" s="116"/>
      <c r="F772" s="116"/>
      <c r="G772" s="116"/>
      <c r="H772" s="116"/>
      <c r="I772" s="116"/>
      <c r="J772" s="116"/>
      <c r="K772" s="116"/>
      <c r="L772" s="116"/>
      <c r="M772" s="116"/>
      <c r="N772" s="116"/>
      <c r="O772" s="116"/>
      <c r="P772" s="116"/>
      <c r="Q772" s="116"/>
      <c r="R772" s="116"/>
      <c r="S772" s="116"/>
      <c r="T772" s="116"/>
      <c r="U772" s="116"/>
    </row>
    <row r="773" spans="2:21" ht="12.95" customHeight="1">
      <c r="B773" s="522"/>
      <c r="C773" s="116"/>
      <c r="D773" s="116"/>
      <c r="E773" s="116"/>
      <c r="F773" s="116"/>
      <c r="G773" s="116"/>
      <c r="H773" s="116"/>
      <c r="I773" s="116"/>
      <c r="J773" s="116"/>
      <c r="K773" s="116"/>
      <c r="L773" s="116"/>
      <c r="M773" s="116"/>
      <c r="N773" s="116"/>
      <c r="O773" s="116"/>
      <c r="P773" s="116"/>
      <c r="Q773" s="116"/>
      <c r="R773" s="116"/>
      <c r="S773" s="116"/>
      <c r="T773" s="116"/>
      <c r="U773" s="116"/>
    </row>
    <row r="774" spans="2:21" ht="12.95" customHeight="1">
      <c r="B774" s="522"/>
      <c r="C774" s="116"/>
      <c r="D774" s="116"/>
      <c r="E774" s="116"/>
      <c r="F774" s="116"/>
      <c r="G774" s="116"/>
      <c r="H774" s="116"/>
      <c r="I774" s="116"/>
      <c r="J774" s="116"/>
      <c r="K774" s="116"/>
      <c r="L774" s="116"/>
      <c r="M774" s="116"/>
      <c r="N774" s="116"/>
      <c r="O774" s="116"/>
      <c r="P774" s="116"/>
      <c r="Q774" s="116"/>
      <c r="R774" s="116"/>
      <c r="S774" s="116"/>
      <c r="T774" s="116"/>
      <c r="U774" s="116"/>
    </row>
    <row r="775" spans="2:21" ht="12.95" customHeight="1">
      <c r="B775" s="522"/>
      <c r="C775" s="116"/>
      <c r="D775" s="116"/>
      <c r="E775" s="116"/>
      <c r="F775" s="116"/>
      <c r="G775" s="116"/>
      <c r="H775" s="116"/>
      <c r="I775" s="116"/>
      <c r="J775" s="116"/>
      <c r="K775" s="116"/>
      <c r="L775" s="116"/>
      <c r="M775" s="116"/>
      <c r="N775" s="116"/>
      <c r="O775" s="116"/>
      <c r="P775" s="116"/>
      <c r="Q775" s="116"/>
      <c r="R775" s="116"/>
      <c r="S775" s="116"/>
      <c r="T775" s="116"/>
      <c r="U775" s="116"/>
    </row>
    <row r="776" spans="2:21" ht="12.95" customHeight="1">
      <c r="B776" s="522"/>
      <c r="C776" s="116"/>
      <c r="D776" s="116"/>
      <c r="E776" s="116"/>
      <c r="F776" s="116"/>
      <c r="G776" s="116"/>
      <c r="H776" s="116"/>
      <c r="I776" s="116"/>
      <c r="J776" s="116"/>
      <c r="K776" s="116"/>
      <c r="L776" s="116"/>
      <c r="M776" s="116"/>
      <c r="N776" s="116"/>
      <c r="O776" s="116"/>
      <c r="P776" s="116"/>
      <c r="Q776" s="116"/>
      <c r="R776" s="116"/>
      <c r="S776" s="116"/>
      <c r="T776" s="116"/>
      <c r="U776" s="116"/>
    </row>
    <row r="777" spans="2:21" ht="12.95" customHeight="1">
      <c r="B777" s="522"/>
      <c r="C777" s="116"/>
      <c r="D777" s="116"/>
      <c r="E777" s="116"/>
      <c r="F777" s="116"/>
      <c r="G777" s="116"/>
      <c r="H777" s="116"/>
      <c r="I777" s="116"/>
      <c r="J777" s="116"/>
      <c r="K777" s="116"/>
      <c r="L777" s="116"/>
      <c r="M777" s="116"/>
      <c r="N777" s="116"/>
      <c r="O777" s="116"/>
      <c r="P777" s="116"/>
      <c r="Q777" s="116"/>
      <c r="R777" s="116"/>
      <c r="S777" s="116"/>
      <c r="T777" s="116"/>
      <c r="U777" s="116"/>
    </row>
    <row r="778" spans="2:21" ht="12.95" customHeight="1">
      <c r="B778" s="522"/>
      <c r="C778" s="116"/>
      <c r="D778" s="116"/>
      <c r="E778" s="116"/>
      <c r="F778" s="116"/>
      <c r="G778" s="116"/>
      <c r="H778" s="116"/>
      <c r="I778" s="116"/>
      <c r="J778" s="116"/>
      <c r="K778" s="116"/>
      <c r="L778" s="116"/>
      <c r="M778" s="116"/>
      <c r="N778" s="116"/>
      <c r="O778" s="116"/>
      <c r="P778" s="116"/>
      <c r="Q778" s="116"/>
      <c r="R778" s="116"/>
      <c r="S778" s="116"/>
      <c r="T778" s="116"/>
      <c r="U778" s="116"/>
    </row>
    <row r="779" spans="2:21" ht="12.95" customHeight="1">
      <c r="B779" s="522"/>
      <c r="C779" s="116"/>
      <c r="D779" s="116"/>
      <c r="E779" s="116"/>
      <c r="F779" s="116"/>
      <c r="G779" s="116"/>
      <c r="H779" s="116"/>
      <c r="I779" s="116"/>
      <c r="J779" s="116"/>
      <c r="K779" s="116"/>
      <c r="L779" s="116"/>
      <c r="M779" s="116"/>
      <c r="N779" s="116"/>
      <c r="O779" s="116"/>
      <c r="P779" s="116"/>
      <c r="Q779" s="116"/>
      <c r="R779" s="116"/>
      <c r="S779" s="116"/>
      <c r="T779" s="116"/>
      <c r="U779" s="116"/>
    </row>
    <row r="780" spans="2:21" ht="12.95" customHeight="1">
      <c r="B780" s="522"/>
      <c r="C780" s="116"/>
      <c r="D780" s="116"/>
      <c r="E780" s="116"/>
      <c r="F780" s="116"/>
      <c r="G780" s="116"/>
      <c r="H780" s="116"/>
      <c r="I780" s="116"/>
      <c r="J780" s="116"/>
      <c r="K780" s="116"/>
      <c r="L780" s="116"/>
      <c r="M780" s="116"/>
      <c r="N780" s="116"/>
      <c r="O780" s="116"/>
      <c r="P780" s="116"/>
      <c r="Q780" s="116"/>
      <c r="R780" s="116"/>
      <c r="S780" s="116"/>
      <c r="T780" s="116"/>
      <c r="U780" s="116"/>
    </row>
    <row r="781" spans="2:21" ht="12.95" customHeight="1">
      <c r="B781" s="522"/>
      <c r="C781" s="116"/>
      <c r="D781" s="116"/>
      <c r="E781" s="116"/>
      <c r="F781" s="116"/>
      <c r="G781" s="116"/>
      <c r="H781" s="116"/>
      <c r="I781" s="116"/>
      <c r="J781" s="116"/>
      <c r="K781" s="116"/>
      <c r="L781" s="116"/>
      <c r="M781" s="116"/>
      <c r="N781" s="116"/>
      <c r="O781" s="116"/>
      <c r="P781" s="116"/>
      <c r="Q781" s="116"/>
      <c r="R781" s="116"/>
      <c r="S781" s="116"/>
      <c r="T781" s="116"/>
      <c r="U781" s="116"/>
    </row>
    <row r="782" spans="2:21" ht="12.95" customHeight="1">
      <c r="B782" s="522"/>
      <c r="C782" s="116"/>
      <c r="D782" s="116"/>
      <c r="E782" s="116"/>
      <c r="F782" s="116"/>
      <c r="G782" s="116"/>
      <c r="H782" s="116"/>
      <c r="I782" s="116"/>
      <c r="J782" s="116"/>
      <c r="K782" s="116"/>
      <c r="L782" s="116"/>
      <c r="M782" s="116"/>
      <c r="N782" s="116"/>
      <c r="O782" s="116"/>
      <c r="P782" s="116"/>
      <c r="Q782" s="116"/>
      <c r="R782" s="116"/>
      <c r="S782" s="116"/>
      <c r="T782" s="116"/>
      <c r="U782" s="116"/>
    </row>
    <row r="783" spans="2:21" ht="12.95" customHeight="1">
      <c r="B783" s="522"/>
      <c r="C783" s="116"/>
      <c r="D783" s="116"/>
      <c r="E783" s="116"/>
      <c r="F783" s="116"/>
      <c r="G783" s="116"/>
      <c r="H783" s="116"/>
      <c r="I783" s="116"/>
      <c r="J783" s="116"/>
      <c r="K783" s="116"/>
      <c r="L783" s="116"/>
      <c r="M783" s="116"/>
      <c r="N783" s="116"/>
      <c r="O783" s="116"/>
      <c r="P783" s="116"/>
      <c r="Q783" s="116"/>
      <c r="R783" s="116"/>
      <c r="S783" s="116"/>
      <c r="T783" s="116"/>
      <c r="U783" s="116"/>
    </row>
    <row r="784" spans="2:21" ht="12.95" customHeight="1">
      <c r="B784" s="522"/>
      <c r="C784" s="116"/>
      <c r="D784" s="116"/>
      <c r="E784" s="116"/>
      <c r="F784" s="116"/>
      <c r="G784" s="116"/>
      <c r="H784" s="116"/>
      <c r="I784" s="116"/>
      <c r="J784" s="116"/>
      <c r="K784" s="116"/>
      <c r="L784" s="116"/>
      <c r="M784" s="116"/>
      <c r="N784" s="116"/>
      <c r="O784" s="116"/>
      <c r="P784" s="116"/>
      <c r="Q784" s="116"/>
      <c r="R784" s="116"/>
      <c r="S784" s="116"/>
      <c r="T784" s="116"/>
      <c r="U784" s="116"/>
    </row>
    <row r="785" spans="2:21" ht="12.95" customHeight="1">
      <c r="B785" s="522"/>
      <c r="C785" s="116"/>
      <c r="D785" s="116"/>
      <c r="E785" s="116"/>
      <c r="F785" s="116"/>
      <c r="G785" s="116"/>
      <c r="H785" s="116"/>
      <c r="I785" s="116"/>
      <c r="J785" s="116"/>
      <c r="K785" s="116"/>
      <c r="L785" s="116"/>
      <c r="M785" s="116"/>
      <c r="N785" s="116"/>
      <c r="O785" s="116"/>
      <c r="P785" s="116"/>
      <c r="Q785" s="116"/>
      <c r="R785" s="116"/>
      <c r="S785" s="116"/>
      <c r="T785" s="116"/>
      <c r="U785" s="116"/>
    </row>
    <row r="786" spans="2:21" ht="12.95" customHeight="1">
      <c r="B786" s="522"/>
      <c r="C786" s="116"/>
      <c r="D786" s="116"/>
      <c r="E786" s="116"/>
      <c r="F786" s="116"/>
      <c r="G786" s="116"/>
      <c r="H786" s="116"/>
      <c r="I786" s="116"/>
      <c r="J786" s="116"/>
      <c r="K786" s="116"/>
      <c r="L786" s="116"/>
      <c r="M786" s="116"/>
      <c r="N786" s="116"/>
      <c r="O786" s="116"/>
      <c r="P786" s="116"/>
      <c r="Q786" s="116"/>
      <c r="R786" s="116"/>
      <c r="S786" s="116"/>
      <c r="T786" s="116"/>
      <c r="U786" s="116"/>
    </row>
    <row r="787" spans="2:21" ht="12.95" customHeight="1">
      <c r="B787" s="522"/>
      <c r="C787" s="116"/>
      <c r="D787" s="116"/>
      <c r="E787" s="116"/>
      <c r="F787" s="116"/>
      <c r="G787" s="116"/>
      <c r="H787" s="116"/>
      <c r="I787" s="116"/>
      <c r="J787" s="116"/>
      <c r="K787" s="116"/>
      <c r="L787" s="116"/>
      <c r="M787" s="116"/>
      <c r="N787" s="116"/>
      <c r="O787" s="116"/>
      <c r="P787" s="116"/>
      <c r="Q787" s="116"/>
      <c r="R787" s="116"/>
      <c r="S787" s="116"/>
      <c r="T787" s="116"/>
      <c r="U787" s="116"/>
    </row>
    <row r="788" spans="2:21" ht="12.95" customHeight="1">
      <c r="B788" s="522"/>
      <c r="C788" s="116"/>
      <c r="D788" s="116"/>
      <c r="E788" s="116"/>
      <c r="F788" s="116"/>
      <c r="G788" s="116"/>
      <c r="H788" s="116"/>
      <c r="I788" s="116"/>
      <c r="J788" s="116"/>
      <c r="K788" s="116"/>
      <c r="L788" s="116"/>
      <c r="M788" s="116"/>
      <c r="N788" s="116"/>
      <c r="O788" s="116"/>
      <c r="P788" s="116"/>
      <c r="Q788" s="116"/>
      <c r="R788" s="116"/>
      <c r="S788" s="116"/>
      <c r="T788" s="116"/>
      <c r="U788" s="116"/>
    </row>
    <row r="789" spans="2:21" ht="12.95" customHeight="1">
      <c r="B789" s="522"/>
      <c r="C789" s="116"/>
      <c r="D789" s="116"/>
      <c r="E789" s="116"/>
      <c r="F789" s="116"/>
      <c r="G789" s="116"/>
      <c r="H789" s="116"/>
      <c r="I789" s="116"/>
      <c r="J789" s="116"/>
      <c r="K789" s="116"/>
      <c r="L789" s="116"/>
      <c r="M789" s="116"/>
      <c r="N789" s="116"/>
      <c r="O789" s="116"/>
      <c r="P789" s="116"/>
      <c r="Q789" s="116"/>
      <c r="R789" s="116"/>
      <c r="S789" s="116"/>
      <c r="T789" s="116"/>
      <c r="U789" s="116"/>
    </row>
    <row r="790" spans="2:21" ht="12.95" customHeight="1">
      <c r="B790" s="522"/>
      <c r="C790" s="116"/>
      <c r="D790" s="116"/>
      <c r="E790" s="116"/>
      <c r="F790" s="116"/>
      <c r="G790" s="116"/>
      <c r="H790" s="116"/>
      <c r="I790" s="116"/>
      <c r="J790" s="116"/>
      <c r="K790" s="116"/>
      <c r="L790" s="116"/>
      <c r="M790" s="116"/>
      <c r="N790" s="116"/>
      <c r="O790" s="116"/>
      <c r="P790" s="116"/>
      <c r="Q790" s="116"/>
      <c r="R790" s="116"/>
      <c r="S790" s="116"/>
      <c r="T790" s="116"/>
      <c r="U790" s="116"/>
    </row>
    <row r="791" spans="2:21" ht="12.95" customHeight="1">
      <c r="B791" s="522"/>
      <c r="C791" s="116"/>
      <c r="D791" s="116"/>
      <c r="E791" s="116"/>
      <c r="F791" s="116"/>
      <c r="G791" s="116"/>
      <c r="H791" s="116"/>
      <c r="I791" s="116"/>
      <c r="J791" s="116"/>
      <c r="K791" s="116"/>
      <c r="L791" s="116"/>
      <c r="M791" s="116"/>
      <c r="N791" s="116"/>
      <c r="O791" s="116"/>
      <c r="P791" s="116"/>
      <c r="Q791" s="116"/>
      <c r="R791" s="116"/>
      <c r="S791" s="116"/>
      <c r="T791" s="116"/>
      <c r="U791" s="116"/>
    </row>
    <row r="792" spans="2:21" ht="12.95" customHeight="1">
      <c r="B792" s="522"/>
      <c r="C792" s="116"/>
      <c r="D792" s="116"/>
      <c r="E792" s="116"/>
      <c r="F792" s="116"/>
      <c r="G792" s="116"/>
      <c r="H792" s="116"/>
      <c r="I792" s="116"/>
      <c r="J792" s="116"/>
      <c r="K792" s="116"/>
      <c r="L792" s="116"/>
      <c r="M792" s="116"/>
      <c r="N792" s="116"/>
      <c r="O792" s="116"/>
      <c r="P792" s="116"/>
      <c r="Q792" s="116"/>
      <c r="R792" s="116"/>
      <c r="S792" s="116"/>
      <c r="T792" s="116"/>
      <c r="U792" s="116"/>
    </row>
    <row r="793" spans="2:21" ht="12.95" customHeight="1">
      <c r="B793" s="522"/>
      <c r="C793" s="116"/>
      <c r="D793" s="116"/>
      <c r="E793" s="116"/>
      <c r="F793" s="116"/>
      <c r="G793" s="116"/>
      <c r="H793" s="116"/>
      <c r="I793" s="116"/>
      <c r="J793" s="116"/>
      <c r="K793" s="116"/>
      <c r="L793" s="116"/>
      <c r="M793" s="116"/>
      <c r="N793" s="116"/>
      <c r="O793" s="116"/>
      <c r="P793" s="116"/>
      <c r="Q793" s="116"/>
      <c r="R793" s="116"/>
      <c r="S793" s="116"/>
      <c r="T793" s="116"/>
      <c r="U793" s="116"/>
    </row>
    <row r="794" spans="2:21" ht="12.95" customHeight="1">
      <c r="B794" s="522"/>
      <c r="C794" s="116"/>
      <c r="D794" s="116"/>
      <c r="E794" s="116"/>
      <c r="F794" s="116"/>
      <c r="G794" s="116"/>
      <c r="H794" s="116"/>
      <c r="I794" s="116"/>
      <c r="J794" s="116"/>
      <c r="K794" s="116"/>
      <c r="L794" s="116"/>
      <c r="M794" s="116"/>
      <c r="N794" s="116"/>
      <c r="O794" s="116"/>
      <c r="P794" s="116"/>
      <c r="Q794" s="116"/>
      <c r="R794" s="116"/>
      <c r="S794" s="116"/>
      <c r="T794" s="116"/>
      <c r="U794" s="116"/>
    </row>
    <row r="795" spans="2:21" ht="12.95" customHeight="1">
      <c r="B795" s="522"/>
      <c r="C795" s="116"/>
      <c r="D795" s="116"/>
      <c r="E795" s="116"/>
      <c r="F795" s="116"/>
      <c r="G795" s="116"/>
      <c r="H795" s="116"/>
      <c r="I795" s="116"/>
      <c r="J795" s="116"/>
      <c r="K795" s="116"/>
      <c r="L795" s="116"/>
      <c r="M795" s="116"/>
      <c r="N795" s="116"/>
      <c r="O795" s="116"/>
      <c r="P795" s="116"/>
      <c r="Q795" s="116"/>
      <c r="R795" s="116"/>
      <c r="S795" s="116"/>
      <c r="T795" s="116"/>
      <c r="U795" s="116"/>
    </row>
    <row r="796" spans="2:21" ht="12.95" customHeight="1">
      <c r="B796" s="522"/>
      <c r="C796" s="116"/>
      <c r="D796" s="116"/>
      <c r="E796" s="116"/>
      <c r="F796" s="116"/>
      <c r="G796" s="116"/>
      <c r="H796" s="116"/>
      <c r="I796" s="116"/>
      <c r="J796" s="116"/>
      <c r="K796" s="116"/>
      <c r="L796" s="116"/>
      <c r="M796" s="116"/>
      <c r="N796" s="116"/>
      <c r="O796" s="116"/>
      <c r="P796" s="116"/>
      <c r="Q796" s="116"/>
      <c r="R796" s="116"/>
      <c r="S796" s="116"/>
      <c r="T796" s="116"/>
      <c r="U796" s="116"/>
    </row>
    <row r="797" spans="2:21" ht="12.95" customHeight="1">
      <c r="B797" s="522"/>
      <c r="C797" s="116"/>
      <c r="D797" s="116"/>
      <c r="E797" s="116"/>
      <c r="F797" s="116"/>
      <c r="G797" s="116"/>
      <c r="H797" s="116"/>
      <c r="I797" s="116"/>
      <c r="J797" s="116"/>
      <c r="K797" s="116"/>
      <c r="L797" s="116"/>
      <c r="M797" s="116"/>
      <c r="N797" s="116"/>
      <c r="O797" s="116"/>
      <c r="P797" s="116"/>
      <c r="Q797" s="116"/>
      <c r="R797" s="116"/>
      <c r="S797" s="116"/>
      <c r="T797" s="116"/>
      <c r="U797" s="116"/>
    </row>
    <row r="798" spans="2:21" ht="12.95" customHeight="1">
      <c r="B798" s="522"/>
      <c r="C798" s="116"/>
      <c r="D798" s="116"/>
      <c r="E798" s="116"/>
      <c r="F798" s="116"/>
      <c r="G798" s="116"/>
      <c r="H798" s="116"/>
      <c r="I798" s="116"/>
      <c r="J798" s="116"/>
      <c r="K798" s="116"/>
      <c r="L798" s="116"/>
      <c r="M798" s="116"/>
      <c r="N798" s="116"/>
      <c r="O798" s="116"/>
      <c r="P798" s="116"/>
      <c r="Q798" s="116"/>
      <c r="R798" s="116"/>
      <c r="S798" s="116"/>
      <c r="T798" s="116"/>
      <c r="U798" s="116"/>
    </row>
    <row r="799" spans="2:21" ht="12.95" customHeight="1">
      <c r="B799" s="522"/>
      <c r="C799" s="116"/>
      <c r="D799" s="116"/>
      <c r="E799" s="116"/>
      <c r="F799" s="116"/>
      <c r="G799" s="116"/>
      <c r="H799" s="116"/>
      <c r="I799" s="116"/>
      <c r="J799" s="116"/>
      <c r="K799" s="116"/>
      <c r="L799" s="116"/>
      <c r="M799" s="116"/>
      <c r="N799" s="116"/>
      <c r="O799" s="116"/>
      <c r="P799" s="116"/>
      <c r="Q799" s="116"/>
      <c r="R799" s="116"/>
      <c r="S799" s="116"/>
      <c r="T799" s="116"/>
      <c r="U799" s="116"/>
    </row>
    <row r="800" spans="2:21" ht="12.95" customHeight="1">
      <c r="B800" s="522"/>
      <c r="C800" s="116"/>
      <c r="D800" s="116"/>
      <c r="E800" s="116"/>
      <c r="F800" s="116"/>
      <c r="G800" s="116"/>
      <c r="H800" s="116"/>
      <c r="I800" s="116"/>
      <c r="J800" s="116"/>
      <c r="K800" s="116"/>
      <c r="L800" s="116"/>
      <c r="M800" s="116"/>
      <c r="N800" s="116"/>
      <c r="O800" s="116"/>
      <c r="P800" s="116"/>
      <c r="Q800" s="116"/>
      <c r="R800" s="116"/>
      <c r="S800" s="116"/>
      <c r="T800" s="116"/>
      <c r="U800" s="116"/>
    </row>
    <row r="801" spans="2:21" ht="12.95" customHeight="1">
      <c r="B801" s="522"/>
      <c r="C801" s="116"/>
      <c r="D801" s="116"/>
      <c r="E801" s="116"/>
      <c r="F801" s="116"/>
      <c r="G801" s="116"/>
      <c r="H801" s="116"/>
      <c r="I801" s="116"/>
      <c r="J801" s="116"/>
      <c r="K801" s="116"/>
      <c r="L801" s="116"/>
      <c r="M801" s="116"/>
      <c r="N801" s="116"/>
      <c r="O801" s="116"/>
      <c r="P801" s="116"/>
      <c r="Q801" s="116"/>
      <c r="R801" s="116"/>
      <c r="S801" s="116"/>
      <c r="T801" s="116"/>
      <c r="U801" s="116"/>
    </row>
    <row r="802" spans="2:21" ht="12.95" customHeight="1">
      <c r="B802" s="522"/>
      <c r="C802" s="116"/>
      <c r="D802" s="116"/>
      <c r="E802" s="116"/>
      <c r="F802" s="116"/>
      <c r="G802" s="116"/>
      <c r="H802" s="116"/>
      <c r="I802" s="116"/>
      <c r="J802" s="116"/>
      <c r="K802" s="116"/>
      <c r="L802" s="116"/>
      <c r="M802" s="116"/>
      <c r="N802" s="116"/>
      <c r="O802" s="116"/>
      <c r="P802" s="116"/>
      <c r="Q802" s="116"/>
      <c r="R802" s="116"/>
      <c r="S802" s="116"/>
      <c r="T802" s="116"/>
      <c r="U802" s="116"/>
    </row>
    <row r="803" spans="2:21" ht="12.95" customHeight="1">
      <c r="B803" s="522"/>
      <c r="C803" s="116"/>
      <c r="D803" s="116"/>
      <c r="E803" s="116"/>
      <c r="F803" s="116"/>
      <c r="G803" s="116"/>
      <c r="H803" s="116"/>
      <c r="I803" s="116"/>
      <c r="J803" s="116"/>
      <c r="K803" s="116"/>
      <c r="L803" s="116"/>
      <c r="M803" s="116"/>
      <c r="N803" s="116"/>
      <c r="O803" s="116"/>
      <c r="P803" s="116"/>
      <c r="Q803" s="116"/>
      <c r="R803" s="116"/>
      <c r="S803" s="116"/>
      <c r="T803" s="116"/>
      <c r="U803" s="116"/>
    </row>
    <row r="804" spans="2:21" ht="12.95" customHeight="1">
      <c r="B804" s="522"/>
      <c r="C804" s="116"/>
      <c r="D804" s="116"/>
      <c r="E804" s="116"/>
      <c r="F804" s="116"/>
      <c r="G804" s="116"/>
      <c r="H804" s="116"/>
      <c r="I804" s="116"/>
      <c r="J804" s="116"/>
      <c r="K804" s="116"/>
      <c r="L804" s="116"/>
      <c r="M804" s="116"/>
      <c r="N804" s="116"/>
      <c r="O804" s="116"/>
      <c r="P804" s="116"/>
      <c r="Q804" s="116"/>
      <c r="R804" s="116"/>
      <c r="S804" s="116"/>
      <c r="T804" s="116"/>
      <c r="U804" s="116"/>
    </row>
    <row r="805" spans="2:21" ht="12.95" customHeight="1">
      <c r="B805" s="522"/>
      <c r="C805" s="116"/>
      <c r="D805" s="116"/>
      <c r="E805" s="116"/>
      <c r="F805" s="116"/>
      <c r="G805" s="116"/>
      <c r="H805" s="116"/>
      <c r="I805" s="116"/>
      <c r="J805" s="116"/>
      <c r="K805" s="116"/>
      <c r="L805" s="116"/>
      <c r="M805" s="116"/>
      <c r="N805" s="116"/>
      <c r="O805" s="116"/>
      <c r="P805" s="116"/>
      <c r="Q805" s="116"/>
      <c r="R805" s="116"/>
      <c r="S805" s="116"/>
      <c r="T805" s="116"/>
      <c r="U805" s="116"/>
    </row>
    <row r="806" spans="2:21" ht="12.95" customHeight="1">
      <c r="B806" s="522"/>
      <c r="C806" s="116"/>
      <c r="D806" s="116"/>
      <c r="E806" s="116"/>
      <c r="F806" s="116"/>
      <c r="G806" s="116"/>
      <c r="H806" s="116"/>
      <c r="I806" s="116"/>
      <c r="J806" s="116"/>
      <c r="K806" s="116"/>
      <c r="L806" s="116"/>
      <c r="M806" s="116"/>
      <c r="N806" s="116"/>
      <c r="O806" s="116"/>
      <c r="P806" s="116"/>
      <c r="Q806" s="116"/>
      <c r="R806" s="116"/>
      <c r="S806" s="116"/>
      <c r="T806" s="116"/>
      <c r="U806" s="116"/>
    </row>
    <row r="807" spans="2:21" ht="12.95" customHeight="1">
      <c r="B807" s="522"/>
      <c r="C807" s="116"/>
      <c r="D807" s="116"/>
      <c r="E807" s="116"/>
      <c r="F807" s="116"/>
      <c r="G807" s="116"/>
      <c r="H807" s="116"/>
      <c r="I807" s="116"/>
      <c r="J807" s="116"/>
      <c r="K807" s="116"/>
      <c r="L807" s="116"/>
      <c r="M807" s="116"/>
      <c r="N807" s="116"/>
      <c r="O807" s="116"/>
      <c r="P807" s="116"/>
      <c r="Q807" s="116"/>
      <c r="R807" s="116"/>
      <c r="S807" s="116"/>
      <c r="T807" s="116"/>
      <c r="U807" s="116"/>
    </row>
    <row r="808" spans="2:21" ht="12.95" customHeight="1">
      <c r="B808" s="522"/>
      <c r="C808" s="116"/>
      <c r="D808" s="116"/>
      <c r="E808" s="116"/>
      <c r="F808" s="116"/>
      <c r="G808" s="116"/>
      <c r="H808" s="116"/>
      <c r="I808" s="116"/>
      <c r="J808" s="116"/>
      <c r="K808" s="116"/>
      <c r="L808" s="116"/>
      <c r="M808" s="116"/>
      <c r="N808" s="116"/>
      <c r="O808" s="116"/>
      <c r="P808" s="116"/>
      <c r="Q808" s="116"/>
      <c r="R808" s="116"/>
      <c r="S808" s="116"/>
      <c r="T808" s="116"/>
      <c r="U808" s="116"/>
    </row>
    <row r="809" spans="2:21" ht="12.95" customHeight="1">
      <c r="B809" s="522"/>
      <c r="C809" s="116"/>
      <c r="D809" s="116"/>
      <c r="E809" s="116"/>
      <c r="F809" s="116"/>
      <c r="G809" s="116"/>
      <c r="H809" s="116"/>
      <c r="I809" s="116"/>
      <c r="J809" s="116"/>
      <c r="K809" s="116"/>
      <c r="L809" s="116"/>
      <c r="M809" s="116"/>
      <c r="N809" s="116"/>
      <c r="O809" s="116"/>
      <c r="P809" s="116"/>
      <c r="Q809" s="116"/>
      <c r="R809" s="116"/>
      <c r="S809" s="116"/>
      <c r="T809" s="116"/>
      <c r="U809" s="116"/>
    </row>
    <row r="810" spans="2:21" ht="12.95" customHeight="1">
      <c r="B810" s="522"/>
      <c r="C810" s="116"/>
      <c r="D810" s="116"/>
      <c r="E810" s="116"/>
      <c r="F810" s="116"/>
      <c r="G810" s="116"/>
      <c r="H810" s="116"/>
      <c r="I810" s="116"/>
      <c r="J810" s="116"/>
      <c r="K810" s="116"/>
      <c r="L810" s="116"/>
      <c r="M810" s="116"/>
      <c r="N810" s="116"/>
      <c r="O810" s="116"/>
      <c r="P810" s="116"/>
      <c r="Q810" s="116"/>
      <c r="R810" s="116"/>
      <c r="S810" s="116"/>
      <c r="T810" s="116"/>
      <c r="U810" s="116"/>
    </row>
    <row r="811" spans="2:21" ht="12.95" customHeight="1">
      <c r="B811" s="522"/>
      <c r="C811" s="116"/>
      <c r="D811" s="116"/>
      <c r="E811" s="116"/>
      <c r="F811" s="116"/>
      <c r="G811" s="116"/>
      <c r="H811" s="116"/>
      <c r="I811" s="116"/>
      <c r="J811" s="116"/>
      <c r="K811" s="116"/>
      <c r="L811" s="116"/>
      <c r="M811" s="116"/>
      <c r="N811" s="116"/>
      <c r="O811" s="116"/>
      <c r="P811" s="116"/>
      <c r="Q811" s="116"/>
      <c r="R811" s="116"/>
      <c r="S811" s="116"/>
      <c r="T811" s="116"/>
      <c r="U811" s="116"/>
    </row>
    <row r="812" spans="2:21" ht="12.95" customHeight="1">
      <c r="B812" s="522"/>
      <c r="C812" s="116"/>
      <c r="D812" s="116"/>
      <c r="E812" s="116"/>
      <c r="F812" s="116"/>
      <c r="G812" s="116"/>
      <c r="H812" s="116"/>
      <c r="I812" s="116"/>
      <c r="J812" s="116"/>
      <c r="K812" s="116"/>
      <c r="L812" s="116"/>
      <c r="M812" s="116"/>
      <c r="N812" s="116"/>
      <c r="O812" s="116"/>
      <c r="P812" s="116"/>
      <c r="Q812" s="116"/>
      <c r="R812" s="116"/>
      <c r="S812" s="116"/>
      <c r="T812" s="116"/>
      <c r="U812" s="116"/>
    </row>
    <row r="813" spans="2:21" ht="12.95" customHeight="1">
      <c r="B813" s="522"/>
      <c r="C813" s="116"/>
      <c r="D813" s="116"/>
      <c r="E813" s="116"/>
      <c r="F813" s="116"/>
      <c r="G813" s="116"/>
      <c r="H813" s="116"/>
      <c r="I813" s="116"/>
      <c r="J813" s="116"/>
      <c r="K813" s="116"/>
      <c r="L813" s="116"/>
      <c r="M813" s="116"/>
      <c r="N813" s="116"/>
      <c r="O813" s="116"/>
      <c r="P813" s="116"/>
      <c r="Q813" s="116"/>
      <c r="R813" s="116"/>
      <c r="S813" s="116"/>
      <c r="T813" s="116"/>
      <c r="U813" s="116"/>
    </row>
    <row r="814" spans="2:21" ht="12.95" customHeight="1">
      <c r="B814" s="522"/>
      <c r="C814" s="116"/>
      <c r="D814" s="116"/>
      <c r="E814" s="116"/>
      <c r="F814" s="116"/>
      <c r="G814" s="116"/>
      <c r="H814" s="116"/>
      <c r="I814" s="116"/>
      <c r="J814" s="116"/>
      <c r="K814" s="116"/>
      <c r="L814" s="116"/>
      <c r="M814" s="116"/>
      <c r="N814" s="116"/>
      <c r="O814" s="116"/>
      <c r="P814" s="116"/>
      <c r="Q814" s="116"/>
      <c r="R814" s="116"/>
      <c r="S814" s="116"/>
      <c r="T814" s="116"/>
      <c r="U814" s="116"/>
    </row>
    <row r="815" spans="2:21" ht="12.95" customHeight="1">
      <c r="B815" s="522"/>
      <c r="C815" s="116"/>
      <c r="D815" s="116"/>
      <c r="E815" s="116"/>
      <c r="F815" s="116"/>
      <c r="G815" s="116"/>
      <c r="H815" s="116"/>
      <c r="I815" s="116"/>
      <c r="J815" s="116"/>
      <c r="K815" s="116"/>
      <c r="L815" s="116"/>
      <c r="M815" s="116"/>
      <c r="N815" s="116"/>
      <c r="O815" s="116"/>
      <c r="P815" s="116"/>
      <c r="Q815" s="116"/>
      <c r="R815" s="116"/>
      <c r="S815" s="116"/>
      <c r="T815" s="116"/>
      <c r="U815" s="116"/>
    </row>
    <row r="816" spans="2:21" ht="12.95" customHeight="1">
      <c r="B816" s="522"/>
      <c r="C816" s="116"/>
      <c r="D816" s="116"/>
      <c r="E816" s="116"/>
      <c r="F816" s="116"/>
      <c r="G816" s="116"/>
      <c r="H816" s="116"/>
      <c r="I816" s="116"/>
      <c r="J816" s="116"/>
      <c r="K816" s="116"/>
      <c r="L816" s="116"/>
      <c r="M816" s="116"/>
      <c r="N816" s="116"/>
      <c r="O816" s="116"/>
      <c r="P816" s="116"/>
      <c r="Q816" s="116"/>
      <c r="R816" s="116"/>
      <c r="S816" s="116"/>
      <c r="T816" s="116"/>
      <c r="U816" s="116"/>
    </row>
    <row r="817" spans="2:21" ht="12.95" customHeight="1">
      <c r="B817" s="522"/>
      <c r="C817" s="116"/>
      <c r="D817" s="116"/>
      <c r="E817" s="116"/>
      <c r="F817" s="116"/>
      <c r="G817" s="116"/>
      <c r="H817" s="116"/>
      <c r="I817" s="116"/>
      <c r="J817" s="116"/>
      <c r="K817" s="116"/>
      <c r="L817" s="116"/>
      <c r="M817" s="116"/>
      <c r="N817" s="116"/>
      <c r="O817" s="116"/>
      <c r="P817" s="116"/>
      <c r="Q817" s="116"/>
      <c r="R817" s="116"/>
      <c r="S817" s="116"/>
      <c r="T817" s="116"/>
      <c r="U817" s="116"/>
    </row>
    <row r="818" spans="2:21" ht="12.95" customHeight="1">
      <c r="B818" s="522"/>
      <c r="C818" s="116"/>
      <c r="D818" s="116"/>
      <c r="E818" s="116"/>
      <c r="F818" s="116"/>
      <c r="G818" s="116"/>
      <c r="H818" s="116"/>
      <c r="I818" s="116"/>
      <c r="J818" s="116"/>
      <c r="K818" s="116"/>
      <c r="L818" s="116"/>
      <c r="M818" s="116"/>
      <c r="N818" s="116"/>
      <c r="O818" s="116"/>
      <c r="P818" s="116"/>
      <c r="Q818" s="116"/>
      <c r="R818" s="116"/>
      <c r="S818" s="116"/>
      <c r="T818" s="116"/>
      <c r="U818" s="116"/>
    </row>
    <row r="819" spans="2:21" ht="12.95" customHeight="1">
      <c r="B819" s="522"/>
      <c r="C819" s="116"/>
      <c r="D819" s="116"/>
      <c r="E819" s="116"/>
      <c r="F819" s="116"/>
      <c r="G819" s="116"/>
      <c r="H819" s="116"/>
      <c r="I819" s="116"/>
      <c r="J819" s="116"/>
      <c r="K819" s="116"/>
      <c r="L819" s="116"/>
      <c r="M819" s="116"/>
      <c r="N819" s="116"/>
      <c r="O819" s="116"/>
      <c r="P819" s="116"/>
      <c r="Q819" s="116"/>
      <c r="R819" s="116"/>
      <c r="S819" s="116"/>
      <c r="T819" s="116"/>
      <c r="U819" s="116"/>
    </row>
    <row r="820" spans="2:21" ht="12.95" customHeight="1">
      <c r="B820" s="522"/>
      <c r="C820" s="116"/>
      <c r="D820" s="116"/>
      <c r="E820" s="116"/>
      <c r="F820" s="116"/>
      <c r="G820" s="116"/>
      <c r="H820" s="116"/>
      <c r="I820" s="116"/>
      <c r="J820" s="116"/>
      <c r="K820" s="116"/>
      <c r="L820" s="116"/>
      <c r="M820" s="116"/>
      <c r="N820" s="116"/>
      <c r="O820" s="116"/>
      <c r="P820" s="116"/>
      <c r="Q820" s="116"/>
      <c r="R820" s="116"/>
      <c r="S820" s="116"/>
      <c r="T820" s="116"/>
      <c r="U820" s="116"/>
    </row>
    <row r="821" spans="2:21" ht="12.95" customHeight="1">
      <c r="B821" s="522"/>
      <c r="C821" s="116"/>
      <c r="D821" s="116"/>
      <c r="E821" s="116"/>
      <c r="F821" s="116"/>
      <c r="G821" s="116"/>
      <c r="H821" s="116"/>
      <c r="I821" s="116"/>
      <c r="J821" s="116"/>
      <c r="K821" s="116"/>
      <c r="L821" s="116"/>
      <c r="M821" s="116"/>
      <c r="N821" s="116"/>
      <c r="O821" s="116"/>
      <c r="P821" s="116"/>
      <c r="Q821" s="116"/>
      <c r="R821" s="116"/>
      <c r="S821" s="116"/>
      <c r="T821" s="116"/>
      <c r="U821" s="116"/>
    </row>
    <row r="822" spans="2:21" ht="12.95" customHeight="1">
      <c r="B822" s="522"/>
      <c r="C822" s="116"/>
      <c r="D822" s="116"/>
      <c r="E822" s="116"/>
      <c r="F822" s="116"/>
      <c r="G822" s="116"/>
      <c r="H822" s="116"/>
      <c r="I822" s="116"/>
      <c r="J822" s="116"/>
      <c r="K822" s="116"/>
      <c r="L822" s="116"/>
      <c r="M822" s="116"/>
      <c r="N822" s="116"/>
      <c r="O822" s="116"/>
      <c r="P822" s="116"/>
      <c r="Q822" s="116"/>
      <c r="R822" s="116"/>
      <c r="S822" s="116"/>
      <c r="T822" s="116"/>
      <c r="U822" s="116"/>
    </row>
    <row r="823" spans="2:21" ht="12.95" customHeight="1">
      <c r="B823" s="522"/>
      <c r="C823" s="116"/>
      <c r="D823" s="116"/>
      <c r="E823" s="116"/>
      <c r="F823" s="116"/>
      <c r="G823" s="116"/>
      <c r="H823" s="116"/>
      <c r="I823" s="116"/>
      <c r="J823" s="116"/>
      <c r="K823" s="116"/>
      <c r="L823" s="116"/>
      <c r="M823" s="116"/>
      <c r="N823" s="116"/>
      <c r="O823" s="116"/>
      <c r="P823" s="116"/>
      <c r="Q823" s="116"/>
      <c r="R823" s="116"/>
      <c r="S823" s="116"/>
      <c r="T823" s="116"/>
      <c r="U823" s="116"/>
    </row>
    <row r="824" spans="2:21" ht="12.95" customHeight="1">
      <c r="B824" s="522"/>
      <c r="C824" s="116"/>
      <c r="D824" s="116"/>
      <c r="E824" s="116"/>
      <c r="F824" s="116"/>
      <c r="G824" s="116"/>
      <c r="H824" s="116"/>
      <c r="I824" s="116"/>
      <c r="J824" s="116"/>
      <c r="K824" s="116"/>
      <c r="L824" s="116"/>
      <c r="M824" s="116"/>
      <c r="N824" s="116"/>
      <c r="O824" s="116"/>
      <c r="P824" s="116"/>
      <c r="Q824" s="116"/>
      <c r="R824" s="116"/>
      <c r="S824" s="116"/>
      <c r="T824" s="116"/>
      <c r="U824" s="116"/>
    </row>
    <row r="825" spans="2:21" ht="12.95" customHeight="1">
      <c r="B825" s="522"/>
      <c r="C825" s="116"/>
      <c r="D825" s="116"/>
      <c r="E825" s="116"/>
      <c r="F825" s="116"/>
      <c r="G825" s="116"/>
      <c r="H825" s="116"/>
      <c r="I825" s="116"/>
      <c r="J825" s="116"/>
      <c r="K825" s="116"/>
      <c r="L825" s="116"/>
      <c r="M825" s="116"/>
      <c r="N825" s="116"/>
      <c r="O825" s="116"/>
      <c r="P825" s="116"/>
      <c r="Q825" s="116"/>
      <c r="R825" s="116"/>
      <c r="S825" s="116"/>
      <c r="T825" s="116"/>
      <c r="U825" s="116"/>
    </row>
    <row r="826" spans="2:21" ht="12.95" customHeight="1">
      <c r="B826" s="522"/>
      <c r="C826" s="116"/>
      <c r="D826" s="116"/>
      <c r="E826" s="116"/>
      <c r="F826" s="116"/>
      <c r="G826" s="116"/>
      <c r="H826" s="116"/>
      <c r="I826" s="116"/>
      <c r="J826" s="116"/>
      <c r="K826" s="116"/>
      <c r="L826" s="116"/>
      <c r="M826" s="116"/>
      <c r="N826" s="116"/>
      <c r="O826" s="116"/>
      <c r="P826" s="116"/>
      <c r="Q826" s="116"/>
      <c r="R826" s="116"/>
      <c r="S826" s="116"/>
      <c r="T826" s="116"/>
      <c r="U826" s="116"/>
    </row>
    <row r="827" spans="2:21" ht="12.95" customHeight="1">
      <c r="B827" s="522"/>
      <c r="C827" s="116"/>
      <c r="D827" s="116"/>
      <c r="E827" s="116"/>
      <c r="F827" s="116"/>
      <c r="G827" s="116"/>
      <c r="H827" s="116"/>
      <c r="I827" s="116"/>
      <c r="J827" s="116"/>
      <c r="K827" s="116"/>
      <c r="L827" s="116"/>
      <c r="M827" s="116"/>
      <c r="N827" s="116"/>
      <c r="O827" s="116"/>
      <c r="P827" s="116"/>
      <c r="Q827" s="116"/>
      <c r="R827" s="116"/>
      <c r="S827" s="116"/>
      <c r="T827" s="116"/>
      <c r="U827" s="116"/>
    </row>
    <row r="828" spans="2:21" ht="12.95" customHeight="1">
      <c r="B828" s="522"/>
      <c r="C828" s="116"/>
      <c r="D828" s="116"/>
      <c r="E828" s="116"/>
      <c r="F828" s="116"/>
      <c r="G828" s="116"/>
      <c r="H828" s="116"/>
      <c r="I828" s="116"/>
      <c r="J828" s="116"/>
      <c r="K828" s="116"/>
      <c r="L828" s="116"/>
      <c r="M828" s="116"/>
      <c r="N828" s="116"/>
      <c r="O828" s="116"/>
      <c r="P828" s="116"/>
      <c r="Q828" s="116"/>
      <c r="R828" s="116"/>
      <c r="S828" s="116"/>
      <c r="T828" s="116"/>
      <c r="U828" s="116"/>
    </row>
    <row r="829" spans="2:21" ht="12.95" customHeight="1">
      <c r="B829" s="522"/>
      <c r="C829" s="116"/>
      <c r="D829" s="116"/>
      <c r="E829" s="116"/>
      <c r="F829" s="116"/>
      <c r="G829" s="116"/>
      <c r="H829" s="116"/>
      <c r="I829" s="116"/>
      <c r="J829" s="116"/>
      <c r="K829" s="116"/>
      <c r="L829" s="116"/>
      <c r="M829" s="116"/>
      <c r="N829" s="116"/>
      <c r="O829" s="116"/>
      <c r="P829" s="116"/>
      <c r="Q829" s="116"/>
      <c r="R829" s="116"/>
      <c r="S829" s="116"/>
      <c r="T829" s="116"/>
      <c r="U829" s="116"/>
    </row>
    <row r="830" spans="2:21" ht="12.95" customHeight="1">
      <c r="B830" s="522"/>
      <c r="C830" s="116"/>
      <c r="D830" s="116"/>
      <c r="E830" s="116"/>
      <c r="F830" s="116"/>
      <c r="G830" s="116"/>
      <c r="H830" s="116"/>
      <c r="I830" s="116"/>
      <c r="J830" s="116"/>
      <c r="K830" s="116"/>
      <c r="L830" s="116"/>
      <c r="M830" s="116"/>
      <c r="N830" s="116"/>
      <c r="O830" s="116"/>
      <c r="P830" s="116"/>
      <c r="Q830" s="116"/>
      <c r="R830" s="116"/>
      <c r="S830" s="116"/>
      <c r="T830" s="116"/>
      <c r="U830" s="116"/>
    </row>
    <row r="831" spans="2:21" ht="12.95" customHeight="1">
      <c r="B831" s="522"/>
      <c r="C831" s="116"/>
      <c r="D831" s="116"/>
      <c r="E831" s="116"/>
      <c r="F831" s="116"/>
      <c r="G831" s="116"/>
      <c r="H831" s="116"/>
      <c r="I831" s="116"/>
      <c r="J831" s="116"/>
      <c r="K831" s="116"/>
      <c r="L831" s="116"/>
      <c r="M831" s="116"/>
      <c r="N831" s="116"/>
      <c r="O831" s="116"/>
      <c r="P831" s="116"/>
      <c r="Q831" s="116"/>
      <c r="R831" s="116"/>
      <c r="S831" s="116"/>
      <c r="T831" s="116"/>
      <c r="U831" s="116"/>
    </row>
    <row r="832" spans="2:21" ht="12.95" customHeight="1">
      <c r="B832" s="522"/>
      <c r="C832" s="116"/>
      <c r="D832" s="116"/>
      <c r="E832" s="116"/>
      <c r="F832" s="116"/>
      <c r="G832" s="116"/>
      <c r="H832" s="116"/>
      <c r="I832" s="116"/>
      <c r="J832" s="116"/>
      <c r="K832" s="116"/>
      <c r="L832" s="116"/>
      <c r="M832" s="116"/>
      <c r="N832" s="116"/>
      <c r="O832" s="116"/>
      <c r="P832" s="116"/>
      <c r="Q832" s="116"/>
      <c r="R832" s="116"/>
      <c r="S832" s="116"/>
      <c r="T832" s="116"/>
      <c r="U832" s="116"/>
    </row>
    <row r="833" spans="2:21" ht="12.95" customHeight="1">
      <c r="B833" s="522"/>
      <c r="C833" s="116"/>
      <c r="D833" s="116"/>
      <c r="E833" s="116"/>
      <c r="F833" s="116"/>
      <c r="G833" s="116"/>
      <c r="H833" s="116"/>
      <c r="I833" s="116"/>
      <c r="J833" s="116"/>
      <c r="K833" s="116"/>
      <c r="L833" s="116"/>
      <c r="M833" s="116"/>
      <c r="N833" s="116"/>
      <c r="O833" s="116"/>
      <c r="P833" s="116"/>
      <c r="Q833" s="116"/>
      <c r="R833" s="116"/>
      <c r="S833" s="116"/>
      <c r="T833" s="116"/>
      <c r="U833" s="116"/>
    </row>
    <row r="834" spans="2:21" ht="12.95" customHeight="1">
      <c r="B834" s="522"/>
      <c r="C834" s="116"/>
      <c r="D834" s="116"/>
      <c r="E834" s="116"/>
      <c r="F834" s="116"/>
      <c r="G834" s="116"/>
      <c r="H834" s="116"/>
      <c r="I834" s="116"/>
      <c r="J834" s="116"/>
      <c r="K834" s="116"/>
      <c r="L834" s="116"/>
      <c r="M834" s="116"/>
      <c r="N834" s="116"/>
      <c r="O834" s="116"/>
      <c r="P834" s="116"/>
      <c r="Q834" s="116"/>
      <c r="R834" s="116"/>
      <c r="S834" s="116"/>
      <c r="T834" s="116"/>
      <c r="U834" s="116"/>
    </row>
    <row r="835" spans="2:21" ht="12.95" customHeight="1">
      <c r="B835" s="522"/>
      <c r="C835" s="116"/>
      <c r="D835" s="116"/>
      <c r="E835" s="116"/>
      <c r="F835" s="116"/>
      <c r="G835" s="116"/>
      <c r="H835" s="116"/>
      <c r="I835" s="116"/>
      <c r="J835" s="116"/>
      <c r="K835" s="116"/>
      <c r="L835" s="116"/>
      <c r="M835" s="116"/>
      <c r="N835" s="116"/>
      <c r="O835" s="116"/>
      <c r="P835" s="116"/>
      <c r="Q835" s="116"/>
      <c r="R835" s="116"/>
      <c r="S835" s="116"/>
      <c r="T835" s="116"/>
      <c r="U835" s="116"/>
    </row>
    <row r="836" spans="2:21" ht="12.95" customHeight="1">
      <c r="B836" s="522"/>
      <c r="C836" s="116"/>
      <c r="D836" s="116"/>
      <c r="E836" s="116"/>
      <c r="F836" s="116"/>
      <c r="G836" s="116"/>
      <c r="H836" s="116"/>
      <c r="I836" s="116"/>
      <c r="J836" s="116"/>
      <c r="K836" s="116"/>
      <c r="L836" s="116"/>
      <c r="M836" s="116"/>
      <c r="N836" s="116"/>
      <c r="O836" s="116"/>
      <c r="P836" s="116"/>
      <c r="Q836" s="116"/>
      <c r="R836" s="116"/>
      <c r="S836" s="116"/>
      <c r="T836" s="116"/>
      <c r="U836" s="116"/>
    </row>
    <row r="837" spans="2:21" ht="12.95" customHeight="1">
      <c r="B837" s="522"/>
      <c r="C837" s="116"/>
      <c r="D837" s="116"/>
      <c r="E837" s="116"/>
      <c r="F837" s="116"/>
      <c r="G837" s="116"/>
      <c r="H837" s="116"/>
      <c r="I837" s="116"/>
      <c r="J837" s="116"/>
      <c r="K837" s="116"/>
      <c r="L837" s="116"/>
      <c r="M837" s="116"/>
      <c r="N837" s="116"/>
      <c r="O837" s="116"/>
      <c r="P837" s="116"/>
      <c r="Q837" s="116"/>
      <c r="R837" s="116"/>
      <c r="S837" s="116"/>
      <c r="T837" s="116"/>
      <c r="U837" s="116"/>
    </row>
    <row r="838" spans="2:21" ht="12.95" customHeight="1">
      <c r="B838" s="522"/>
      <c r="C838" s="116"/>
      <c r="D838" s="116"/>
      <c r="E838" s="116"/>
      <c r="F838" s="116"/>
      <c r="G838" s="116"/>
      <c r="H838" s="116"/>
      <c r="I838" s="116"/>
      <c r="J838" s="116"/>
      <c r="K838" s="116"/>
      <c r="L838" s="116"/>
      <c r="M838" s="116"/>
      <c r="N838" s="116"/>
      <c r="O838" s="116"/>
      <c r="P838" s="116"/>
      <c r="Q838" s="116"/>
      <c r="R838" s="116"/>
      <c r="S838" s="116"/>
      <c r="T838" s="116"/>
      <c r="U838" s="116"/>
    </row>
    <row r="839" spans="2:21" ht="12.95" customHeight="1">
      <c r="B839" s="522"/>
      <c r="C839" s="116"/>
      <c r="D839" s="116"/>
      <c r="E839" s="116"/>
      <c r="F839" s="116"/>
      <c r="G839" s="116"/>
      <c r="H839" s="116"/>
      <c r="I839" s="116"/>
      <c r="J839" s="116"/>
      <c r="K839" s="116"/>
      <c r="L839" s="116"/>
      <c r="M839" s="116"/>
      <c r="N839" s="116"/>
      <c r="O839" s="116"/>
      <c r="P839" s="116"/>
      <c r="Q839" s="116"/>
      <c r="R839" s="116"/>
      <c r="S839" s="116"/>
      <c r="T839" s="116"/>
      <c r="U839" s="116"/>
    </row>
    <row r="840" spans="2:21" ht="12.95" customHeight="1">
      <c r="B840" s="522"/>
      <c r="C840" s="116"/>
      <c r="D840" s="116"/>
      <c r="E840" s="116"/>
      <c r="F840" s="116"/>
      <c r="G840" s="116"/>
      <c r="H840" s="116"/>
      <c r="I840" s="116"/>
      <c r="J840" s="116"/>
      <c r="K840" s="116"/>
      <c r="L840" s="116"/>
      <c r="M840" s="116"/>
      <c r="N840" s="116"/>
      <c r="O840" s="116"/>
      <c r="P840" s="116"/>
      <c r="Q840" s="116"/>
      <c r="R840" s="116"/>
      <c r="S840" s="116"/>
      <c r="T840" s="116"/>
      <c r="U840" s="116"/>
    </row>
    <row r="841" spans="2:21" ht="12.95" customHeight="1">
      <c r="B841" s="522"/>
      <c r="C841" s="116"/>
      <c r="D841" s="116"/>
      <c r="E841" s="116"/>
      <c r="F841" s="116"/>
      <c r="G841" s="116"/>
      <c r="H841" s="116"/>
      <c r="I841" s="116"/>
      <c r="J841" s="116"/>
      <c r="K841" s="116"/>
      <c r="L841" s="116"/>
      <c r="M841" s="116"/>
      <c r="N841" s="116"/>
      <c r="O841" s="116"/>
      <c r="P841" s="116"/>
      <c r="Q841" s="116"/>
      <c r="R841" s="116"/>
      <c r="S841" s="116"/>
      <c r="T841" s="116"/>
      <c r="U841" s="116"/>
    </row>
    <row r="842" spans="2:21" ht="12.95" customHeight="1">
      <c r="B842" s="522"/>
      <c r="C842" s="116"/>
      <c r="D842" s="116"/>
      <c r="E842" s="116"/>
      <c r="F842" s="116"/>
      <c r="G842" s="116"/>
      <c r="H842" s="116"/>
      <c r="I842" s="116"/>
      <c r="J842" s="116"/>
      <c r="K842" s="116"/>
      <c r="L842" s="116"/>
      <c r="M842" s="116"/>
      <c r="N842" s="116"/>
      <c r="O842" s="116"/>
      <c r="P842" s="116"/>
      <c r="Q842" s="116"/>
      <c r="R842" s="116"/>
      <c r="S842" s="116"/>
      <c r="T842" s="116"/>
      <c r="U842" s="116"/>
    </row>
    <row r="843" spans="2:21" ht="12.95" customHeight="1">
      <c r="B843" s="522"/>
      <c r="C843" s="116"/>
      <c r="D843" s="116"/>
      <c r="E843" s="116"/>
      <c r="F843" s="116"/>
      <c r="G843" s="116"/>
      <c r="H843" s="116"/>
      <c r="I843" s="116"/>
      <c r="J843" s="116"/>
      <c r="K843" s="116"/>
      <c r="L843" s="116"/>
      <c r="M843" s="116"/>
      <c r="N843" s="116"/>
      <c r="O843" s="116"/>
      <c r="P843" s="116"/>
      <c r="Q843" s="116"/>
      <c r="R843" s="116"/>
      <c r="S843" s="116"/>
      <c r="T843" s="116"/>
      <c r="U843" s="116"/>
    </row>
    <row r="844" spans="2:21" ht="12.95" customHeight="1">
      <c r="B844" s="522"/>
      <c r="C844" s="116"/>
      <c r="D844" s="116"/>
      <c r="E844" s="116"/>
      <c r="F844" s="116"/>
      <c r="G844" s="116"/>
      <c r="H844" s="116"/>
      <c r="I844" s="116"/>
      <c r="J844" s="116"/>
      <c r="K844" s="116"/>
      <c r="L844" s="116"/>
      <c r="M844" s="116"/>
      <c r="N844" s="116"/>
      <c r="O844" s="116"/>
      <c r="P844" s="116"/>
      <c r="Q844" s="116"/>
      <c r="R844" s="116"/>
      <c r="S844" s="116"/>
      <c r="T844" s="116"/>
      <c r="U844" s="116"/>
    </row>
    <row r="845" spans="2:21" ht="12.95" customHeight="1">
      <c r="B845" s="522"/>
      <c r="C845" s="116"/>
      <c r="D845" s="116"/>
      <c r="E845" s="116"/>
      <c r="F845" s="116"/>
      <c r="G845" s="116"/>
      <c r="H845" s="116"/>
      <c r="I845" s="116"/>
      <c r="J845" s="116"/>
      <c r="K845" s="116"/>
      <c r="L845" s="116"/>
      <c r="M845" s="116"/>
      <c r="N845" s="116"/>
      <c r="O845" s="116"/>
      <c r="P845" s="116"/>
      <c r="Q845" s="116"/>
      <c r="R845" s="116"/>
      <c r="S845" s="116"/>
      <c r="T845" s="116"/>
      <c r="U845" s="116"/>
    </row>
    <row r="846" spans="2:21" ht="12.95" customHeight="1">
      <c r="B846" s="522"/>
      <c r="C846" s="116"/>
      <c r="D846" s="116"/>
      <c r="E846" s="116"/>
      <c r="F846" s="116"/>
      <c r="G846" s="116"/>
      <c r="H846" s="116"/>
      <c r="I846" s="116"/>
      <c r="J846" s="116"/>
      <c r="K846" s="116"/>
      <c r="L846" s="116"/>
      <c r="M846" s="116"/>
    </row>
    <row r="847" spans="2:21" ht="12.95" customHeight="1">
      <c r="B847" s="522"/>
      <c r="C847" s="116"/>
      <c r="D847" s="116"/>
      <c r="E847" s="116"/>
      <c r="F847" s="116"/>
      <c r="G847" s="116"/>
      <c r="H847" s="116"/>
      <c r="I847" s="116"/>
      <c r="J847" s="116"/>
      <c r="K847" s="116"/>
      <c r="L847" s="116"/>
      <c r="M847" s="116"/>
    </row>
    <row r="848" spans="2:21" ht="12.95" customHeight="1">
      <c r="B848" s="522"/>
      <c r="C848" s="116"/>
      <c r="D848" s="116"/>
      <c r="E848" s="116"/>
      <c r="F848" s="116"/>
      <c r="G848" s="116"/>
      <c r="H848" s="116"/>
      <c r="I848" s="116"/>
      <c r="J848" s="116"/>
      <c r="K848" s="116"/>
      <c r="L848" s="116"/>
      <c r="M848" s="116"/>
    </row>
    <row r="849" spans="2:13" ht="12.95" customHeight="1">
      <c r="B849" s="522"/>
      <c r="C849" s="116"/>
      <c r="D849" s="116"/>
      <c r="E849" s="116"/>
      <c r="F849" s="116"/>
      <c r="G849" s="116"/>
      <c r="H849" s="116"/>
      <c r="I849" s="116"/>
      <c r="J849" s="116"/>
      <c r="K849" s="116"/>
      <c r="L849" s="116"/>
      <c r="M849" s="116"/>
    </row>
    <row r="850" spans="2:13" ht="12.95" customHeight="1">
      <c r="B850" s="522"/>
      <c r="C850" s="116"/>
      <c r="D850" s="116"/>
      <c r="I850" s="116"/>
      <c r="J850" s="116"/>
      <c r="K850" s="116"/>
      <c r="L850" s="116"/>
      <c r="M850" s="116"/>
    </row>
    <row r="851" spans="2:13" ht="12.95" customHeight="1">
      <c r="B851" s="522"/>
      <c r="C851" s="116"/>
      <c r="D851" s="116"/>
    </row>
    <row r="852" spans="2:13" ht="12.95" customHeight="1">
      <c r="B852" s="522"/>
      <c r="C852" s="116"/>
      <c r="D852" s="116"/>
    </row>
    <row r="853" spans="2:13" ht="12.95" customHeight="1">
      <c r="B853" s="522"/>
      <c r="C853" s="116"/>
      <c r="D853" s="116"/>
    </row>
    <row r="854" spans="2:13" ht="12.95" customHeight="1">
      <c r="B854" s="522"/>
      <c r="C854" s="116"/>
      <c r="D854" s="116"/>
    </row>
  </sheetData>
  <sheetProtection password="DEC5" sheet="1"/>
  <mergeCells count="257">
    <mergeCell ref="AN46:AN47"/>
    <mergeCell ref="AN36:AN37"/>
    <mergeCell ref="V36:V37"/>
    <mergeCell ref="AQ46:AQ47"/>
    <mergeCell ref="AT46:AT47"/>
    <mergeCell ref="F38:H38"/>
    <mergeCell ref="F37:H37"/>
    <mergeCell ref="BJ7:BK7"/>
    <mergeCell ref="F34:H34"/>
    <mergeCell ref="F9:H9"/>
    <mergeCell ref="F33:H33"/>
    <mergeCell ref="F32:H32"/>
    <mergeCell ref="AJ7:AK7"/>
    <mergeCell ref="AJ8:AK8"/>
    <mergeCell ref="AG7:AH7"/>
    <mergeCell ref="AG8:AH8"/>
    <mergeCell ref="AB36:AB37"/>
    <mergeCell ref="BF36:BF37"/>
    <mergeCell ref="AM7:AN7"/>
    <mergeCell ref="AM8:AN8"/>
    <mergeCell ref="AS7:AT7"/>
    <mergeCell ref="F31:H31"/>
    <mergeCell ref="F36:H36"/>
    <mergeCell ref="F30:H30"/>
    <mergeCell ref="F35:H35"/>
    <mergeCell ref="F20:H20"/>
    <mergeCell ref="AT36:AT37"/>
    <mergeCell ref="BJ3:BK3"/>
    <mergeCell ref="BJ4:BK4"/>
    <mergeCell ref="BJ5:BK5"/>
    <mergeCell ref="BJ6:BK6"/>
    <mergeCell ref="F25:H25"/>
    <mergeCell ref="F22:H22"/>
    <mergeCell ref="F27:H27"/>
    <mergeCell ref="F19:H19"/>
    <mergeCell ref="F17:H17"/>
    <mergeCell ref="F18:H18"/>
    <mergeCell ref="F13:H13"/>
    <mergeCell ref="AA8:AB8"/>
    <mergeCell ref="F12:H12"/>
    <mergeCell ref="F14:H14"/>
    <mergeCell ref="AS8:AT8"/>
    <mergeCell ref="AY8:AZ8"/>
    <mergeCell ref="AV7:AW7"/>
    <mergeCell ref="AV8:AW8"/>
    <mergeCell ref="AY7:AZ7"/>
    <mergeCell ref="D3:F3"/>
    <mergeCell ref="F26:H26"/>
    <mergeCell ref="B6:E6"/>
    <mergeCell ref="B7:E7"/>
    <mergeCell ref="D8:E8"/>
    <mergeCell ref="H50:H51"/>
    <mergeCell ref="F39:H39"/>
    <mergeCell ref="C53:E54"/>
    <mergeCell ref="F42:H42"/>
    <mergeCell ref="F47:H47"/>
    <mergeCell ref="F41:H41"/>
    <mergeCell ref="F40:H40"/>
    <mergeCell ref="C41:D41"/>
    <mergeCell ref="C40:D40"/>
    <mergeCell ref="C39:D39"/>
    <mergeCell ref="C43:D43"/>
    <mergeCell ref="F44:H44"/>
    <mergeCell ref="F43:H43"/>
    <mergeCell ref="B53:B54"/>
    <mergeCell ref="B50:B51"/>
    <mergeCell ref="C42:D42"/>
    <mergeCell ref="C48:D48"/>
    <mergeCell ref="C49:D49"/>
    <mergeCell ref="C44:D44"/>
    <mergeCell ref="C50:C51"/>
    <mergeCell ref="D50:E50"/>
    <mergeCell ref="BJ2:BK2"/>
    <mergeCell ref="I6:J6"/>
    <mergeCell ref="X7:Y7"/>
    <mergeCell ref="X8:Y8"/>
    <mergeCell ref="AD7:AE7"/>
    <mergeCell ref="AD8:AE8"/>
    <mergeCell ref="B2:M2"/>
    <mergeCell ref="U8:V8"/>
    <mergeCell ref="U7:V7"/>
    <mergeCell ref="R7:S7"/>
    <mergeCell ref="AA7:AB7"/>
    <mergeCell ref="I4:J4"/>
    <mergeCell ref="I5:J5"/>
    <mergeCell ref="I7:J7"/>
    <mergeCell ref="F8:H8"/>
    <mergeCell ref="B4:E4"/>
    <mergeCell ref="B5:E5"/>
    <mergeCell ref="L3:M6"/>
    <mergeCell ref="O7:P7"/>
    <mergeCell ref="L7:M7"/>
    <mergeCell ref="R8:S8"/>
    <mergeCell ref="O8:P8"/>
    <mergeCell ref="B3:C3"/>
    <mergeCell ref="I3:K3"/>
    <mergeCell ref="D51:E51"/>
    <mergeCell ref="C46:D46"/>
    <mergeCell ref="C38:D38"/>
    <mergeCell ref="C34:D34"/>
    <mergeCell ref="C35:D35"/>
    <mergeCell ref="C37:D37"/>
    <mergeCell ref="C27:D27"/>
    <mergeCell ref="C30:D30"/>
    <mergeCell ref="C29:D29"/>
    <mergeCell ref="C28:D28"/>
    <mergeCell ref="C32:D32"/>
    <mergeCell ref="C33:D33"/>
    <mergeCell ref="C36:D36"/>
    <mergeCell ref="C31:D31"/>
    <mergeCell ref="D9:E9"/>
    <mergeCell ref="D10:E10"/>
    <mergeCell ref="F24:H24"/>
    <mergeCell ref="F16:H16"/>
    <mergeCell ref="F15:H15"/>
    <mergeCell ref="F10:H10"/>
    <mergeCell ref="F11:H11"/>
    <mergeCell ref="F29:H29"/>
    <mergeCell ref="F28:H28"/>
    <mergeCell ref="F21:H21"/>
    <mergeCell ref="F23:H23"/>
    <mergeCell ref="D11:E11"/>
    <mergeCell ref="D23:E23"/>
    <mergeCell ref="C26:D26"/>
    <mergeCell ref="D12:E12"/>
    <mergeCell ref="D20:E20"/>
    <mergeCell ref="D22:E22"/>
    <mergeCell ref="D13:E13"/>
    <mergeCell ref="D21:E21"/>
    <mergeCell ref="D19:E19"/>
    <mergeCell ref="D17:E17"/>
    <mergeCell ref="D14:E14"/>
    <mergeCell ref="D15:E15"/>
    <mergeCell ref="D16:E16"/>
    <mergeCell ref="BB53:BB54"/>
    <mergeCell ref="AW36:AW37"/>
    <mergeCell ref="AZ36:AZ37"/>
    <mergeCell ref="AY53:AY54"/>
    <mergeCell ref="BE53:BE54"/>
    <mergeCell ref="AZ46:AZ47"/>
    <mergeCell ref="BF46:BF47"/>
    <mergeCell ref="BE7:BF7"/>
    <mergeCell ref="BE8:BF8"/>
    <mergeCell ref="BC36:BC37"/>
    <mergeCell ref="AW46:AW47"/>
    <mergeCell ref="L50:L51"/>
    <mergeCell ref="M50:M51"/>
    <mergeCell ref="K50:K51"/>
    <mergeCell ref="I50:J51"/>
    <mergeCell ref="I53:J53"/>
    <mergeCell ref="C45:D45"/>
    <mergeCell ref="F45:H45"/>
    <mergeCell ref="M64:M65"/>
    <mergeCell ref="BB7:BC7"/>
    <mergeCell ref="BB8:BC8"/>
    <mergeCell ref="BC46:BC47"/>
    <mergeCell ref="AP7:AQ7"/>
    <mergeCell ref="AP8:AQ8"/>
    <mergeCell ref="AQ36:AQ37"/>
    <mergeCell ref="AS53:AS54"/>
    <mergeCell ref="AV53:AV54"/>
    <mergeCell ref="AD53:AD54"/>
    <mergeCell ref="AG53:AG54"/>
    <mergeCell ref="AJ53:AJ54"/>
    <mergeCell ref="M56:M58"/>
    <mergeCell ref="O56:O58"/>
    <mergeCell ref="P56:P58"/>
    <mergeCell ref="R56:R58"/>
    <mergeCell ref="AP53:AP54"/>
    <mergeCell ref="Y36:Y37"/>
    <mergeCell ref="V46:V47"/>
    <mergeCell ref="Y46:Y47"/>
    <mergeCell ref="AK36:AK37"/>
    <mergeCell ref="AH36:AH37"/>
    <mergeCell ref="J36:J37"/>
    <mergeCell ref="M36:M37"/>
    <mergeCell ref="AE36:AE37"/>
    <mergeCell ref="P36:P37"/>
    <mergeCell ref="S36:S37"/>
    <mergeCell ref="J46:J47"/>
    <mergeCell ref="M46:M47"/>
    <mergeCell ref="P46:P47"/>
    <mergeCell ref="S46:S47"/>
    <mergeCell ref="AB46:AB47"/>
    <mergeCell ref="AE46:AE47"/>
    <mergeCell ref="AH46:AH47"/>
    <mergeCell ref="AK46:AK47"/>
    <mergeCell ref="B56:B58"/>
    <mergeCell ref="G57:H57"/>
    <mergeCell ref="F56:J56"/>
    <mergeCell ref="C56:E58"/>
    <mergeCell ref="F58:G58"/>
    <mergeCell ref="V56:V58"/>
    <mergeCell ref="X56:X58"/>
    <mergeCell ref="Y56:Y58"/>
    <mergeCell ref="D59:H59"/>
    <mergeCell ref="I59:J59"/>
    <mergeCell ref="B67:G67"/>
    <mergeCell ref="H62:H68"/>
    <mergeCell ref="B62:G62"/>
    <mergeCell ref="B63:G63"/>
    <mergeCell ref="B64:G64"/>
    <mergeCell ref="B65:G65"/>
    <mergeCell ref="B66:G66"/>
    <mergeCell ref="B68:G68"/>
    <mergeCell ref="F60:K60"/>
    <mergeCell ref="I64:I65"/>
    <mergeCell ref="C60:E60"/>
    <mergeCell ref="I63:L63"/>
    <mergeCell ref="I62:L62"/>
    <mergeCell ref="C61:K61"/>
    <mergeCell ref="I68:L68"/>
    <mergeCell ref="I66:L66"/>
    <mergeCell ref="I67:L67"/>
    <mergeCell ref="AW56:AW58"/>
    <mergeCell ref="AM56:AM58"/>
    <mergeCell ref="AN56:AN58"/>
    <mergeCell ref="AT56:AT58"/>
    <mergeCell ref="AV56:AV58"/>
    <mergeCell ref="AM53:AM54"/>
    <mergeCell ref="O53:O54"/>
    <mergeCell ref="L53:L54"/>
    <mergeCell ref="X53:X54"/>
    <mergeCell ref="AA53:AA54"/>
    <mergeCell ref="S56:S58"/>
    <mergeCell ref="L56:L58"/>
    <mergeCell ref="AP56:AP58"/>
    <mergeCell ref="AQ56:AQ58"/>
    <mergeCell ref="AS56:AS58"/>
    <mergeCell ref="AJ56:AJ58"/>
    <mergeCell ref="AK56:AK58"/>
    <mergeCell ref="R53:R54"/>
    <mergeCell ref="U53:U54"/>
    <mergeCell ref="D24:E24"/>
    <mergeCell ref="D25:E25"/>
    <mergeCell ref="D18:E18"/>
    <mergeCell ref="BF56:BF58"/>
    <mergeCell ref="AY56:AY58"/>
    <mergeCell ref="AZ56:AZ58"/>
    <mergeCell ref="BB56:BB58"/>
    <mergeCell ref="BC56:BC58"/>
    <mergeCell ref="BE56:BE58"/>
    <mergeCell ref="AH56:AH58"/>
    <mergeCell ref="U56:U58"/>
    <mergeCell ref="F46:H46"/>
    <mergeCell ref="F48:H48"/>
    <mergeCell ref="F49:H49"/>
    <mergeCell ref="C55:K55"/>
    <mergeCell ref="I54:K54"/>
    <mergeCell ref="F54:H54"/>
    <mergeCell ref="F53:G53"/>
    <mergeCell ref="G50:G51"/>
    <mergeCell ref="AA56:AA58"/>
    <mergeCell ref="AB56:AB58"/>
    <mergeCell ref="AD56:AD58"/>
    <mergeCell ref="AE56:AE58"/>
    <mergeCell ref="AG56:AG58"/>
  </mergeCells>
  <phoneticPr fontId="25" type="noConversion"/>
  <dataValidations xWindow="351" yWindow="460" count="27">
    <dataValidation type="list" showInputMessage="1" showErrorMessage="1" sqref="F43:H44" xr:uid="{00000000-0002-0000-0600-000000000000}">
      <formula1>Floors</formula1>
    </dataValidation>
    <dataValidation type="list" showInputMessage="1" showErrorMessage="1" sqref="F50" xr:uid="{00000000-0002-0000-0600-000001000000}">
      <formula1>Infil1</formula1>
    </dataValidation>
    <dataValidation type="list" showInputMessage="1" showErrorMessage="1" sqref="F51" xr:uid="{00000000-0002-0000-0600-000002000000}">
      <formula1>Infil2</formula1>
    </dataValidation>
    <dataValidation type="list" showInputMessage="1" showErrorMessage="1" sqref="F57" xr:uid="{00000000-0002-0000-0600-000003000000}">
      <formula1>Ducts1</formula1>
    </dataValidation>
    <dataValidation type="list" showInputMessage="1" showErrorMessage="1" sqref="F46:H46" xr:uid="{00000000-0002-0000-0600-000004000000}">
      <formula1>floors2</formula1>
    </dataValidation>
    <dataValidation type="list" showInputMessage="1" showErrorMessage="1" sqref="F26:H28" xr:uid="{00000000-0002-0000-0600-000005000000}">
      <formula1>Doors</formula1>
    </dataValidation>
    <dataValidation type="list" showInputMessage="1" showErrorMessage="1" sqref="F29:H33" xr:uid="{00000000-0002-0000-0600-000006000000}">
      <formula1>WallsAG</formula1>
    </dataValidation>
    <dataValidation type="list" showInputMessage="1" showErrorMessage="1" sqref="F48:H49" xr:uid="{00000000-0002-0000-0600-000007000000}">
      <formula1>Floors1</formula1>
    </dataValidation>
    <dataValidation type="list" showInputMessage="1" showErrorMessage="1" sqref="F54:H54" xr:uid="{00000000-0002-0000-0600-000008000000}">
      <formula1>Appliances</formula1>
    </dataValidation>
    <dataValidation type="list" showInputMessage="1" showErrorMessage="1" sqref="F56:J56" xr:uid="{00000000-0002-0000-0600-000009000000}">
      <formula1>Ducts</formula1>
    </dataValidation>
    <dataValidation type="list" showInputMessage="1" showErrorMessage="1" sqref="G57:H57" xr:uid="{00000000-0002-0000-0600-00000A000000}">
      <formula1>Ducts2</formula1>
    </dataValidation>
    <dataValidation type="list" showInputMessage="1" showErrorMessage="1" sqref="F60:K60" xr:uid="{00000000-0002-0000-0600-00000B000000}">
      <formula1>Blower</formula1>
    </dataValidation>
    <dataValidation type="list" showInputMessage="1" showErrorMessage="1" sqref="F38:H40" xr:uid="{00000000-0002-0000-0600-00000C000000}">
      <formula1>Ceilings</formula1>
    </dataValidation>
    <dataValidation type="list" showInputMessage="1" showErrorMessage="1" sqref="F36:H37" xr:uid="{00000000-0002-0000-0600-00000D000000}">
      <formula1>WallsBG</formula1>
    </dataValidation>
    <dataValidation type="list" showInputMessage="1" showErrorMessage="1" sqref="F34:H35" xr:uid="{00000000-0002-0000-0600-00000E000000}">
      <formula1>WallsPart</formula1>
    </dataValidation>
    <dataValidation type="list" showInputMessage="1" showErrorMessage="1" sqref="I59:J59" xr:uid="{00000000-0002-0000-0600-00000F000000}">
      <formula1>vent</formula1>
    </dataValidation>
    <dataValidation showInputMessage="1" showErrorMessage="1" sqref="K6" xr:uid="{00000000-0002-0000-0600-000010000000}"/>
    <dataValidation type="list" showInputMessage="1" showErrorMessage="1" sqref="F41:H42" xr:uid="{00000000-0002-0000-0600-000011000000}">
      <formula1>Ceilings1</formula1>
    </dataValidation>
    <dataValidation type="list" showInputMessage="1" showErrorMessage="1" sqref="F47:H47" xr:uid="{00000000-0002-0000-0600-000012000000}">
      <formula1>Floors3</formula1>
    </dataValidation>
    <dataValidation type="list" showInputMessage="1" showErrorMessage="1" sqref="F45:H45" xr:uid="{00000000-0002-0000-0600-000013000000}">
      <formula1>Floors4</formula1>
    </dataValidation>
    <dataValidation type="list" allowBlank="1" showInputMessage="1" showErrorMessage="1" sqref="H3" xr:uid="{00000000-0002-0000-0600-000014000000}">
      <formula1>state</formula1>
    </dataValidation>
    <dataValidation type="list" allowBlank="1" showInputMessage="1" showErrorMessage="1" sqref="F6" xr:uid="{00000000-0002-0000-0600-000015000000}">
      <formula1>RH</formula1>
    </dataValidation>
    <dataValidation type="list" allowBlank="1" showInputMessage="1" showErrorMessage="1" sqref="I3:K3" xr:uid="{00000000-0002-0000-0600-000016000000}">
      <formula1>city</formula1>
    </dataValidation>
    <dataValidation allowBlank="1" showInputMessage="1" showErrorMessage="1" prompt="Room occupants must equal total occupants" sqref="M53" xr:uid="{00000000-0002-0000-0600-000017000000}"/>
    <dataValidation allowBlank="1" showInputMessage="1" showErrorMessage="1" prompt="Room appliance load must equal total appliance load" sqref="M54" xr:uid="{00000000-0002-0000-0600-000018000000}"/>
    <dataValidation allowBlank="1" showInputMessage="1" showErrorMessage="1" prompt="This cell is unprotected to allow the winter design conditions to be changed as per local codes." sqref="F4 H4" xr:uid="{00000000-0002-0000-0600-000019000000}"/>
    <dataValidation allowBlank="1" showInputMessage="1" showErrorMessage="1" prompt="This cell is unprotected to allow the summer design conditions to be changed as per local codes." sqref="H5 F5" xr:uid="{00000000-0002-0000-0600-00001A000000}"/>
  </dataValidations>
  <printOptions horizontalCentered="1"/>
  <pageMargins left="0.25" right="0.25" top="0.25" bottom="0.25" header="0" footer="0"/>
  <pageSetup scale="86" orientation="portrait" blackAndWhite="1" horizontalDpi="300" verticalDpi="300" r:id="rId1"/>
  <headerFooter alignWithMargins="0"/>
  <customProperties>
    <customPr name="SSCSheetTrackingNo" r:id="rId2"/>
  </customProperties>
  <ignoredErrors>
    <ignoredError sqref="K59 H7 F7" unlockedFormula="1"/>
    <ignoredError sqref="B43" numberStoredAsText="1"/>
    <ignoredError sqref="I45" formula="1"/>
  </ignoredErrors>
  <drawing r:id="rId3"/>
  <legacyDrawing r:id="rId4"/>
  <mc:AlternateContent xmlns:mc="http://schemas.openxmlformats.org/markup-compatibility/2006">
    <mc:Choice Requires="x14">
      <controls>
        <mc:AlternateContent xmlns:mc="http://schemas.openxmlformats.org/markup-compatibility/2006">
          <mc:Choice Requires="x14">
            <control shapeId="51349" r:id="rId5" name="Check Box 1173">
              <controlPr locked="0" defaultSize="0" autoFill="0" autoLine="0" autoPict="0">
                <anchor moveWithCells="1">
                  <from>
                    <xdr:col>6</xdr:col>
                    <xdr:colOff>571500</xdr:colOff>
                    <xdr:row>57</xdr:row>
                    <xdr:rowOff>142875</xdr:rowOff>
                  </from>
                  <to>
                    <xdr:col>6</xdr:col>
                    <xdr:colOff>1228725</xdr:colOff>
                    <xdr:row>59</xdr:row>
                    <xdr:rowOff>38100</xdr:rowOff>
                  </to>
                </anchor>
              </controlPr>
            </control>
          </mc:Choice>
        </mc:AlternateContent>
        <mc:AlternateContent xmlns:mc="http://schemas.openxmlformats.org/markup-compatibility/2006">
          <mc:Choice Requires="x14">
            <control shapeId="51351" r:id="rId6" name="Check Box 1175">
              <controlPr locked="0" defaultSize="0" autoFill="0" autoLine="0" autoPict="0">
                <anchor moveWithCells="1">
                  <from>
                    <xdr:col>6</xdr:col>
                    <xdr:colOff>1276350</xdr:colOff>
                    <xdr:row>57</xdr:row>
                    <xdr:rowOff>142875</xdr:rowOff>
                  </from>
                  <to>
                    <xdr:col>7</xdr:col>
                    <xdr:colOff>361950</xdr:colOff>
                    <xdr:row>59</xdr:row>
                    <xdr:rowOff>38100</xdr:rowOff>
                  </to>
                </anchor>
              </controlPr>
            </control>
          </mc:Choice>
        </mc:AlternateContent>
        <mc:AlternateContent xmlns:mc="http://schemas.openxmlformats.org/markup-compatibility/2006">
          <mc:Choice Requires="x14">
            <control shapeId="51362" r:id="rId7" name="Check Box 1186">
              <controlPr locked="0" defaultSize="0" autoFill="0" autoLine="0" autoPict="0">
                <anchor moveWithCells="1">
                  <from>
                    <xdr:col>8</xdr:col>
                    <xdr:colOff>400050</xdr:colOff>
                    <xdr:row>55</xdr:row>
                    <xdr:rowOff>142875</xdr:rowOff>
                  </from>
                  <to>
                    <xdr:col>9</xdr:col>
                    <xdr:colOff>19050</xdr:colOff>
                    <xdr:row>57</xdr:row>
                    <xdr:rowOff>38100</xdr:rowOff>
                  </to>
                </anchor>
              </controlPr>
            </control>
          </mc:Choice>
        </mc:AlternateContent>
        <mc:AlternateContent xmlns:mc="http://schemas.openxmlformats.org/markup-compatibility/2006">
          <mc:Choice Requires="x14">
            <control shapeId="51363" r:id="rId8" name="Check Box 1187">
              <controlPr locked="0" defaultSize="0" autoFill="0" autoLine="0" autoPict="0">
                <anchor moveWithCells="1">
                  <from>
                    <xdr:col>9</xdr:col>
                    <xdr:colOff>400050</xdr:colOff>
                    <xdr:row>55</xdr:row>
                    <xdr:rowOff>142875</xdr:rowOff>
                  </from>
                  <to>
                    <xdr:col>10</xdr:col>
                    <xdr:colOff>95250</xdr:colOff>
                    <xdr:row>57</xdr:row>
                    <xdr:rowOff>38100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0">
    <tabColor indexed="17"/>
    <pageSetUpPr fitToPage="1"/>
  </sheetPr>
  <dimension ref="A1:AC101"/>
  <sheetViews>
    <sheetView showGridLines="0" showRowColHeaders="0" showZeros="0" workbookViewId="0">
      <selection activeCell="E36" sqref="E36:F36"/>
    </sheetView>
  </sheetViews>
  <sheetFormatPr defaultColWidth="8.88671875" defaultRowHeight="15"/>
  <cols>
    <col min="1" max="1" width="2.77734375" style="644" customWidth="1"/>
    <col min="2" max="4" width="8.88671875" style="639"/>
    <col min="5" max="6" width="6.77734375" style="639" customWidth="1"/>
    <col min="7" max="7" width="10.77734375" style="639" customWidth="1"/>
    <col min="8" max="9" width="6.77734375" style="639" customWidth="1"/>
    <col min="10" max="10" width="10.77734375" style="639" customWidth="1"/>
    <col min="11" max="11" width="10.77734375" style="644" customWidth="1"/>
    <col min="12" max="12" width="8.77734375" style="644" customWidth="1"/>
    <col min="13" max="16" width="8.88671875" style="644" hidden="1" customWidth="1"/>
    <col min="17" max="29" width="8.88671875" style="644"/>
    <col min="30" max="16384" width="8.88671875" style="639"/>
  </cols>
  <sheetData>
    <row r="1" spans="2:16" ht="15.75" thickBot="1">
      <c r="B1" s="644"/>
      <c r="C1" s="644"/>
      <c r="D1" s="644"/>
      <c r="E1" s="644"/>
      <c r="F1" s="644"/>
      <c r="G1" s="644"/>
      <c r="H1" s="644"/>
      <c r="I1" s="644"/>
      <c r="J1" s="644"/>
    </row>
    <row r="2" spans="2:16" ht="16.5" thickBot="1">
      <c r="B2" s="907" t="s">
        <v>1384</v>
      </c>
      <c r="C2" s="908"/>
      <c r="D2" s="908"/>
      <c r="E2" s="908"/>
      <c r="F2" s="908"/>
      <c r="G2" s="908"/>
      <c r="H2" s="908"/>
      <c r="I2" s="908"/>
      <c r="J2" s="908"/>
      <c r="K2" s="909"/>
    </row>
    <row r="3" spans="2:16" ht="15.75" thickBot="1">
      <c r="B3" s="910"/>
      <c r="C3" s="911"/>
      <c r="D3" s="911"/>
      <c r="E3" s="911"/>
      <c r="F3" s="911"/>
      <c r="G3" s="911"/>
      <c r="H3" s="911"/>
      <c r="I3" s="911"/>
      <c r="J3" s="911"/>
      <c r="K3" s="912"/>
    </row>
    <row r="4" spans="2:16" ht="15" customHeight="1">
      <c r="B4" s="914" t="s">
        <v>1381</v>
      </c>
      <c r="C4" s="916" t="str">
        <f>'J1 Form'!D3</f>
        <v>LUKE AND KIMS HOME</v>
      </c>
      <c r="D4" s="917"/>
      <c r="E4" s="917"/>
      <c r="F4" s="918"/>
      <c r="G4" s="883" t="s">
        <v>1107</v>
      </c>
      <c r="H4" s="922"/>
      <c r="I4" s="923"/>
      <c r="J4" s="650">
        <v>0.75</v>
      </c>
      <c r="K4" s="904" t="s">
        <v>1108</v>
      </c>
      <c r="P4" s="644">
        <f>J5</f>
        <v>0</v>
      </c>
    </row>
    <row r="5" spans="2:16" ht="15.75" thickBot="1">
      <c r="B5" s="915"/>
      <c r="C5" s="919"/>
      <c r="D5" s="920"/>
      <c r="E5" s="920"/>
      <c r="F5" s="921"/>
      <c r="G5" s="888" t="s">
        <v>2397</v>
      </c>
      <c r="H5" s="889"/>
      <c r="I5" s="913"/>
      <c r="J5" s="651">
        <v>0</v>
      </c>
      <c r="K5" s="905"/>
      <c r="P5" s="644">
        <f>VLOOKUP(O6,O6:P21,2,TRUE)</f>
        <v>600</v>
      </c>
    </row>
    <row r="6" spans="2:16" ht="15.75" thickBot="1">
      <c r="B6" s="881" t="s">
        <v>2450</v>
      </c>
      <c r="C6" s="943"/>
      <c r="D6" s="882"/>
      <c r="E6" s="936" t="s">
        <v>2292</v>
      </c>
      <c r="F6" s="937"/>
      <c r="G6" s="640" t="s">
        <v>1382</v>
      </c>
      <c r="H6" s="944" t="s">
        <v>2293</v>
      </c>
      <c r="I6" s="945"/>
      <c r="J6" s="640" t="s">
        <v>1383</v>
      </c>
      <c r="K6" s="906"/>
      <c r="O6" s="644">
        <f>'J1 Form'!M61/Summary!J4</f>
        <v>17506.356191017283</v>
      </c>
      <c r="P6" s="644">
        <f>IF(P4&gt;0,P4,P5)</f>
        <v>600</v>
      </c>
    </row>
    <row r="7" spans="2:16">
      <c r="B7" s="940" t="str">
        <f>'J1 Form'!O7</f>
        <v>ROOM 1</v>
      </c>
      <c r="C7" s="941"/>
      <c r="D7" s="942"/>
      <c r="E7" s="938">
        <f>'J1 Form'!O$61</f>
        <v>5578.4410456842488</v>
      </c>
      <c r="F7" s="939"/>
      <c r="G7" s="647">
        <f t="shared" ref="G7:G22" si="0">$P$6*M7</f>
        <v>79.330777925919733</v>
      </c>
      <c r="H7" s="938">
        <f>'J1 Form'!P$61</f>
        <v>1329.7577030706216</v>
      </c>
      <c r="I7" s="939"/>
      <c r="J7" s="647">
        <f t="shared" ref="J7:J22" si="1">$P$6*N7</f>
        <v>69.847753336453152</v>
      </c>
      <c r="K7" s="647">
        <f>MAX(G7,J7)</f>
        <v>79.330777925919733</v>
      </c>
      <c r="M7" s="644">
        <f t="shared" ref="M7:M22" si="2">E7/$E$22</f>
        <v>0.13221796320986623</v>
      </c>
      <c r="N7" s="644">
        <f>H7/$H$22</f>
        <v>0.11641292222742192</v>
      </c>
      <c r="O7" s="644">
        <v>1</v>
      </c>
      <c r="P7" s="644">
        <v>200</v>
      </c>
    </row>
    <row r="8" spans="2:16">
      <c r="B8" s="932" t="str">
        <f>'J1 Form'!R7</f>
        <v>ROOM 2</v>
      </c>
      <c r="C8" s="933"/>
      <c r="D8" s="934"/>
      <c r="E8" s="924">
        <f>'J1 Form'!R$61</f>
        <v>5835.0369621404789</v>
      </c>
      <c r="F8" s="935"/>
      <c r="G8" s="648">
        <f t="shared" si="0"/>
        <v>82.979817773859949</v>
      </c>
      <c r="H8" s="924">
        <f>'J1 Form'!S$61</f>
        <v>2514.795852500607</v>
      </c>
      <c r="I8" s="935"/>
      <c r="J8" s="648">
        <f t="shared" si="1"/>
        <v>132.09386942552581</v>
      </c>
      <c r="K8" s="648">
        <f t="shared" ref="K8:K20" si="3">MAX(G8,J8)</f>
        <v>132.09386942552581</v>
      </c>
      <c r="M8" s="644">
        <f t="shared" si="2"/>
        <v>0.13829969628976657</v>
      </c>
      <c r="N8" s="644">
        <f t="shared" ref="N8:N22" si="4">H8/$H$22</f>
        <v>0.22015644904254303</v>
      </c>
      <c r="O8" s="644">
        <v>6000</v>
      </c>
      <c r="P8" s="644">
        <v>400</v>
      </c>
    </row>
    <row r="9" spans="2:16">
      <c r="B9" s="932" t="str">
        <f>'J1 Form'!U7</f>
        <v>ROOM 3</v>
      </c>
      <c r="C9" s="933"/>
      <c r="D9" s="934"/>
      <c r="E9" s="924">
        <f>'J1 Form'!U$61</f>
        <v>3898.3720863045592</v>
      </c>
      <c r="F9" s="935"/>
      <c r="G9" s="648">
        <f t="shared" si="0"/>
        <v>55.438587182074912</v>
      </c>
      <c r="H9" s="924">
        <f>'J1 Form'!V$61</f>
        <v>1598.9615688204624</v>
      </c>
      <c r="I9" s="935"/>
      <c r="J9" s="648">
        <f t="shared" si="1"/>
        <v>83.988137835595182</v>
      </c>
      <c r="K9" s="648">
        <f t="shared" si="3"/>
        <v>83.988137835595182</v>
      </c>
      <c r="M9" s="644">
        <f t="shared" si="2"/>
        <v>9.239764530345819E-2</v>
      </c>
      <c r="N9" s="644">
        <f t="shared" si="4"/>
        <v>0.13998022972599197</v>
      </c>
      <c r="O9" s="644">
        <v>12000</v>
      </c>
      <c r="P9" s="644">
        <v>600</v>
      </c>
    </row>
    <row r="10" spans="2:16">
      <c r="B10" s="932" t="str">
        <f>'J1 Form'!X7</f>
        <v>ROOM 4</v>
      </c>
      <c r="C10" s="933"/>
      <c r="D10" s="934"/>
      <c r="E10" s="924">
        <f>'J1 Form'!X$61</f>
        <v>3073.1941185726887</v>
      </c>
      <c r="F10" s="935"/>
      <c r="G10" s="648">
        <f t="shared" si="0"/>
        <v>43.703765648352096</v>
      </c>
      <c r="H10" s="924">
        <f>'J1 Form'!Y$61</f>
        <v>901.59573218452033</v>
      </c>
      <c r="I10" s="935"/>
      <c r="J10" s="648">
        <f t="shared" si="1"/>
        <v>47.357827794796961</v>
      </c>
      <c r="K10" s="648">
        <f t="shared" si="3"/>
        <v>47.357827794796961</v>
      </c>
      <c r="M10" s="644">
        <f t="shared" si="2"/>
        <v>7.2839609413920162E-2</v>
      </c>
      <c r="N10" s="644">
        <f t="shared" si="4"/>
        <v>7.8929712991328269E-2</v>
      </c>
      <c r="O10" s="644">
        <v>18000</v>
      </c>
      <c r="P10" s="644">
        <v>800</v>
      </c>
    </row>
    <row r="11" spans="2:16">
      <c r="B11" s="932" t="str">
        <f>'J1 Form'!AA7</f>
        <v>ROOM 5</v>
      </c>
      <c r="C11" s="933"/>
      <c r="D11" s="934"/>
      <c r="E11" s="924">
        <f>'J1 Form'!AA$61</f>
        <v>999.77561488794322</v>
      </c>
      <c r="F11" s="935"/>
      <c r="G11" s="648">
        <f t="shared" si="0"/>
        <v>14.21776740686103</v>
      </c>
      <c r="H11" s="924">
        <f>'J1 Form'!AB$61</f>
        <v>127.69509488602209</v>
      </c>
      <c r="I11" s="935"/>
      <c r="J11" s="648">
        <f t="shared" si="1"/>
        <v>6.7073990015458964</v>
      </c>
      <c r="K11" s="648">
        <f t="shared" si="3"/>
        <v>14.21776740686103</v>
      </c>
      <c r="M11" s="644">
        <f t="shared" si="2"/>
        <v>2.3696279011435051E-2</v>
      </c>
      <c r="N11" s="644">
        <f t="shared" si="4"/>
        <v>1.1178998335909827E-2</v>
      </c>
      <c r="O11" s="644">
        <v>24000</v>
      </c>
      <c r="P11" s="644">
        <v>1000</v>
      </c>
    </row>
    <row r="12" spans="2:16">
      <c r="B12" s="932" t="str">
        <f>'J1 Form'!AD7</f>
        <v>ROOM 6</v>
      </c>
      <c r="C12" s="933"/>
      <c r="D12" s="934"/>
      <c r="E12" s="924">
        <f>'J1 Form'!AD61</f>
        <v>5723.1852625516685</v>
      </c>
      <c r="F12" s="935"/>
      <c r="G12" s="648">
        <f t="shared" si="0"/>
        <v>81.389179409476512</v>
      </c>
      <c r="H12" s="924">
        <f>'J1 Form'!AE61</f>
        <v>3296.0129738162341</v>
      </c>
      <c r="I12" s="935"/>
      <c r="J12" s="648">
        <f t="shared" si="1"/>
        <v>173.12860881140472</v>
      </c>
      <c r="K12" s="648">
        <f t="shared" si="3"/>
        <v>173.12860881140472</v>
      </c>
      <c r="M12" s="644">
        <f t="shared" si="2"/>
        <v>0.13564863234912752</v>
      </c>
      <c r="N12" s="644">
        <f t="shared" si="4"/>
        <v>0.28854768135234121</v>
      </c>
      <c r="O12" s="644">
        <v>30000</v>
      </c>
      <c r="P12" s="644">
        <v>1200</v>
      </c>
    </row>
    <row r="13" spans="2:16">
      <c r="B13" s="932" t="str">
        <f>'J1 Form'!AG7</f>
        <v>ROOM 7</v>
      </c>
      <c r="C13" s="933"/>
      <c r="D13" s="934"/>
      <c r="E13" s="924">
        <f>'J1 Form'!AG$61</f>
        <v>2947.0271762230504</v>
      </c>
      <c r="F13" s="935"/>
      <c r="G13" s="648">
        <f t="shared" si="0"/>
        <v>41.909550812493102</v>
      </c>
      <c r="H13" s="924">
        <f>'J1 Form'!AH$61</f>
        <v>949.71004131513632</v>
      </c>
      <c r="I13" s="935"/>
      <c r="J13" s="648">
        <f t="shared" si="1"/>
        <v>49.885112568819167</v>
      </c>
      <c r="K13" s="648">
        <f t="shared" si="3"/>
        <v>49.885112568819167</v>
      </c>
      <c r="M13" s="644">
        <f t="shared" si="2"/>
        <v>6.9849251354155165E-2</v>
      </c>
      <c r="N13" s="644">
        <f t="shared" si="4"/>
        <v>8.3141854281365279E-2</v>
      </c>
      <c r="O13" s="644">
        <v>36000</v>
      </c>
      <c r="P13" s="644">
        <v>1400</v>
      </c>
    </row>
    <row r="14" spans="2:16">
      <c r="B14" s="932" t="str">
        <f>'J1 Form'!AJ7</f>
        <v>ROOM 8</v>
      </c>
      <c r="C14" s="933"/>
      <c r="D14" s="934"/>
      <c r="E14" s="924">
        <f>'J1 Form'!AJ$61</f>
        <v>14136.217018195359</v>
      </c>
      <c r="F14" s="935"/>
      <c r="G14" s="648">
        <f t="shared" si="0"/>
        <v>201.03055384096263</v>
      </c>
      <c r="H14" s="924">
        <f>'J1 Form'!AK$61</f>
        <v>704.23817666935588</v>
      </c>
      <c r="I14" s="935"/>
      <c r="J14" s="648">
        <f t="shared" si="1"/>
        <v>36.991291225858987</v>
      </c>
      <c r="K14" s="648">
        <f t="shared" si="3"/>
        <v>201.03055384096263</v>
      </c>
      <c r="M14" s="644">
        <f t="shared" si="2"/>
        <v>0.33505092306827106</v>
      </c>
      <c r="N14" s="644">
        <f t="shared" si="4"/>
        <v>6.1652152043098311E-2</v>
      </c>
      <c r="O14" s="644">
        <v>42000</v>
      </c>
      <c r="P14" s="644">
        <v>1600</v>
      </c>
    </row>
    <row r="15" spans="2:16">
      <c r="B15" s="932" t="str">
        <f>'J1 Form'!AM7</f>
        <v>ROOM 9</v>
      </c>
      <c r="C15" s="933"/>
      <c r="D15" s="934"/>
      <c r="E15" s="924">
        <f>'J1 Form'!AM$61</f>
        <v>0</v>
      </c>
      <c r="F15" s="935"/>
      <c r="G15" s="648">
        <f t="shared" si="0"/>
        <v>0</v>
      </c>
      <c r="H15" s="924">
        <f>'J1 Form'!AN$61</f>
        <v>0</v>
      </c>
      <c r="I15" s="935"/>
      <c r="J15" s="648">
        <f t="shared" si="1"/>
        <v>0</v>
      </c>
      <c r="K15" s="648">
        <f t="shared" si="3"/>
        <v>0</v>
      </c>
      <c r="M15" s="644">
        <f t="shared" si="2"/>
        <v>0</v>
      </c>
      <c r="N15" s="644">
        <f t="shared" si="4"/>
        <v>0</v>
      </c>
      <c r="O15" s="644">
        <v>48000</v>
      </c>
      <c r="P15" s="644">
        <v>1800</v>
      </c>
    </row>
    <row r="16" spans="2:16">
      <c r="B16" s="932">
        <f>'J1 Form'!AP7</f>
        <v>0</v>
      </c>
      <c r="C16" s="933"/>
      <c r="D16" s="934"/>
      <c r="E16" s="924">
        <f>'J1 Form'!AP$61</f>
        <v>0</v>
      </c>
      <c r="F16" s="935"/>
      <c r="G16" s="648">
        <f t="shared" si="0"/>
        <v>0</v>
      </c>
      <c r="H16" s="924">
        <f>'J1 Form'!AQ$61</f>
        <v>0</v>
      </c>
      <c r="I16" s="935"/>
      <c r="J16" s="648">
        <f t="shared" si="1"/>
        <v>0</v>
      </c>
      <c r="K16" s="648">
        <f t="shared" si="3"/>
        <v>0</v>
      </c>
      <c r="M16" s="644">
        <f t="shared" si="2"/>
        <v>0</v>
      </c>
      <c r="N16" s="644">
        <f t="shared" si="4"/>
        <v>0</v>
      </c>
      <c r="O16" s="644">
        <v>54000</v>
      </c>
      <c r="P16" s="644">
        <v>2000</v>
      </c>
    </row>
    <row r="17" spans="2:16">
      <c r="B17" s="932">
        <f>'J1 Form'!AS7</f>
        <v>0</v>
      </c>
      <c r="C17" s="933"/>
      <c r="D17" s="934"/>
      <c r="E17" s="924">
        <f>'J1 Form'!AS$61</f>
        <v>0</v>
      </c>
      <c r="F17" s="935"/>
      <c r="G17" s="648">
        <f t="shared" si="0"/>
        <v>0</v>
      </c>
      <c r="H17" s="924">
        <f>'J1 Form'!AT$61</f>
        <v>0</v>
      </c>
      <c r="I17" s="935"/>
      <c r="J17" s="648">
        <f t="shared" si="1"/>
        <v>0</v>
      </c>
      <c r="K17" s="648">
        <f t="shared" si="3"/>
        <v>0</v>
      </c>
      <c r="M17" s="644">
        <f t="shared" si="2"/>
        <v>0</v>
      </c>
      <c r="N17" s="644">
        <f t="shared" si="4"/>
        <v>0</v>
      </c>
      <c r="O17" s="644">
        <v>60000</v>
      </c>
      <c r="P17" s="644">
        <v>2200</v>
      </c>
    </row>
    <row r="18" spans="2:16">
      <c r="B18" s="932">
        <f>'J1 Form'!AV7</f>
        <v>0</v>
      </c>
      <c r="C18" s="933"/>
      <c r="D18" s="934"/>
      <c r="E18" s="924">
        <f>'J1 Form'!AV$61</f>
        <v>0</v>
      </c>
      <c r="F18" s="935"/>
      <c r="G18" s="648">
        <f t="shared" si="0"/>
        <v>0</v>
      </c>
      <c r="H18" s="924">
        <f>'J1 Form'!AW$61</f>
        <v>0</v>
      </c>
      <c r="I18" s="935"/>
      <c r="J18" s="648">
        <f t="shared" si="1"/>
        <v>0</v>
      </c>
      <c r="K18" s="648">
        <f t="shared" si="3"/>
        <v>0</v>
      </c>
      <c r="M18" s="644">
        <f t="shared" si="2"/>
        <v>0</v>
      </c>
      <c r="N18" s="644">
        <f t="shared" si="4"/>
        <v>0</v>
      </c>
      <c r="O18" s="644">
        <v>66000</v>
      </c>
      <c r="P18" s="644">
        <v>2400</v>
      </c>
    </row>
    <row r="19" spans="2:16">
      <c r="B19" s="932">
        <f>'J1 Form'!AY7</f>
        <v>0</v>
      </c>
      <c r="C19" s="933"/>
      <c r="D19" s="934"/>
      <c r="E19" s="924">
        <f>'J1 Form'!AY$61</f>
        <v>0</v>
      </c>
      <c r="F19" s="935"/>
      <c r="G19" s="648">
        <f t="shared" si="0"/>
        <v>0</v>
      </c>
      <c r="H19" s="924">
        <f>'J1 Form'!AZ$61</f>
        <v>0</v>
      </c>
      <c r="I19" s="935"/>
      <c r="J19" s="648">
        <f t="shared" si="1"/>
        <v>0</v>
      </c>
      <c r="K19" s="648">
        <f t="shared" si="3"/>
        <v>0</v>
      </c>
      <c r="M19" s="644">
        <f t="shared" si="2"/>
        <v>0</v>
      </c>
      <c r="N19" s="644">
        <f t="shared" si="4"/>
        <v>0</v>
      </c>
      <c r="O19" s="644">
        <v>72000</v>
      </c>
      <c r="P19" s="644">
        <v>2600</v>
      </c>
    </row>
    <row r="20" spans="2:16">
      <c r="B20" s="932">
        <f>'J1 Form'!BB7</f>
        <v>0</v>
      </c>
      <c r="C20" s="933"/>
      <c r="D20" s="934"/>
      <c r="E20" s="924">
        <f>'J1 Form'!BB$61</f>
        <v>0</v>
      </c>
      <c r="F20" s="935"/>
      <c r="G20" s="648">
        <f t="shared" si="0"/>
        <v>0</v>
      </c>
      <c r="H20" s="924">
        <f>'J1 Form'!BC$61</f>
        <v>0</v>
      </c>
      <c r="I20" s="935"/>
      <c r="J20" s="648">
        <f t="shared" si="1"/>
        <v>0</v>
      </c>
      <c r="K20" s="668">
        <f t="shared" si="3"/>
        <v>0</v>
      </c>
      <c r="M20" s="644">
        <f t="shared" si="2"/>
        <v>0</v>
      </c>
      <c r="N20" s="644">
        <f t="shared" si="4"/>
        <v>0</v>
      </c>
      <c r="O20" s="644">
        <v>78000</v>
      </c>
      <c r="P20" s="644">
        <v>2800</v>
      </c>
    </row>
    <row r="21" spans="2:16" ht="15.75" thickBot="1">
      <c r="B21" s="955">
        <f>'J1 Form'!BE7</f>
        <v>0</v>
      </c>
      <c r="C21" s="956"/>
      <c r="D21" s="957"/>
      <c r="E21" s="951">
        <f>'J1 Form'!BE$61</f>
        <v>0</v>
      </c>
      <c r="F21" s="952"/>
      <c r="G21" s="649">
        <f t="shared" si="0"/>
        <v>0</v>
      </c>
      <c r="H21" s="951">
        <f>'J1 Form'!BF$61</f>
        <v>0</v>
      </c>
      <c r="I21" s="952"/>
      <c r="J21" s="649">
        <f t="shared" si="1"/>
        <v>0</v>
      </c>
      <c r="K21" s="649">
        <f>MAX(G21,J21)</f>
        <v>0</v>
      </c>
      <c r="M21" s="644">
        <f t="shared" si="2"/>
        <v>0</v>
      </c>
      <c r="N21" s="644">
        <f t="shared" si="4"/>
        <v>0</v>
      </c>
      <c r="O21" s="644">
        <v>84000</v>
      </c>
      <c r="P21" s="644">
        <v>3000</v>
      </c>
    </row>
    <row r="22" spans="2:16" ht="15.75" thickBot="1">
      <c r="B22" s="978" t="s">
        <v>2687</v>
      </c>
      <c r="C22" s="979"/>
      <c r="D22" s="980"/>
      <c r="E22" s="953">
        <f>SUM(E7:F21)</f>
        <v>42191.249284559999</v>
      </c>
      <c r="F22" s="954"/>
      <c r="G22" s="277">
        <f t="shared" si="0"/>
        <v>600</v>
      </c>
      <c r="H22" s="950">
        <f>SUM(H7:I21)</f>
        <v>11422.767143262961</v>
      </c>
      <c r="I22" s="950"/>
      <c r="J22" s="277">
        <f t="shared" si="1"/>
        <v>600</v>
      </c>
      <c r="K22" s="661"/>
      <c r="M22" s="644">
        <f t="shared" si="2"/>
        <v>1</v>
      </c>
      <c r="N22" s="644">
        <f t="shared" si="4"/>
        <v>1</v>
      </c>
    </row>
    <row r="23" spans="2:16" ht="15.75" thickBot="1">
      <c r="B23" s="947"/>
      <c r="C23" s="948"/>
      <c r="D23" s="948"/>
      <c r="E23" s="948"/>
      <c r="F23" s="948"/>
      <c r="G23" s="948"/>
      <c r="H23" s="948"/>
      <c r="I23" s="948"/>
      <c r="J23" s="949"/>
      <c r="K23" s="662"/>
    </row>
    <row r="24" spans="2:16" ht="15.75" thickBot="1">
      <c r="B24" s="638" t="s">
        <v>2471</v>
      </c>
      <c r="C24" s="881" t="s">
        <v>2470</v>
      </c>
      <c r="D24" s="882"/>
      <c r="E24" s="936" t="s">
        <v>2292</v>
      </c>
      <c r="F24" s="958"/>
      <c r="G24" s="937"/>
      <c r="H24" s="936" t="s">
        <v>2293</v>
      </c>
      <c r="I24" s="958"/>
      <c r="J24" s="937"/>
      <c r="K24" s="663"/>
    </row>
    <row r="25" spans="2:16">
      <c r="B25" s="681">
        <f>SUM('J1 Form'!K10:K21)</f>
        <v>218.39</v>
      </c>
      <c r="C25" s="928" t="s">
        <v>2458</v>
      </c>
      <c r="D25" s="929"/>
      <c r="E25" s="926">
        <f>SUM('J1 Form'!L10:L21)</f>
        <v>9834.1016999999993</v>
      </c>
      <c r="F25" s="927"/>
      <c r="G25" s="262">
        <f t="shared" ref="G25:G38" si="5">E25/$E$43</f>
        <v>0.23308391827114769</v>
      </c>
      <c r="H25" s="938">
        <f>SUM('J1 Form'!M10:M21)</f>
        <v>5602.0403583829602</v>
      </c>
      <c r="I25" s="946"/>
      <c r="J25" s="262">
        <f>H25/$H$43</f>
        <v>0.42666715237653191</v>
      </c>
      <c r="K25" s="664"/>
      <c r="L25" s="645"/>
    </row>
    <row r="26" spans="2:16">
      <c r="B26" s="680">
        <f>SUM('J1 Form'!K22:K25)</f>
        <v>19.8</v>
      </c>
      <c r="C26" s="930" t="s">
        <v>1189</v>
      </c>
      <c r="D26" s="931"/>
      <c r="E26" s="924">
        <f>SUM('J1 Form'!L22:L25)</f>
        <v>1767.546</v>
      </c>
      <c r="F26" s="925"/>
      <c r="G26" s="263">
        <f t="shared" si="5"/>
        <v>4.1893663495923987E-2</v>
      </c>
      <c r="H26" s="924">
        <f>SUM('J1 Form'!M22:M25)</f>
        <v>2772</v>
      </c>
      <c r="I26" s="925"/>
      <c r="J26" s="263">
        <f>H26/$H$43</f>
        <v>0.21112331770654028</v>
      </c>
      <c r="K26" s="664"/>
      <c r="L26" s="645"/>
    </row>
    <row r="27" spans="2:16">
      <c r="B27" s="680">
        <f>SUM('J1 Form'!K26:K28)</f>
        <v>19.75</v>
      </c>
      <c r="C27" s="930" t="s">
        <v>2459</v>
      </c>
      <c r="D27" s="931"/>
      <c r="E27" s="924">
        <f>SUM('J1 Form'!L26:L28)</f>
        <v>436.87</v>
      </c>
      <c r="F27" s="925"/>
      <c r="G27" s="263">
        <f t="shared" si="5"/>
        <v>1.0354516811140595E-2</v>
      </c>
      <c r="H27" s="924">
        <f>SUM('J1 Form'!M26:M28)</f>
        <v>116.13000000000001</v>
      </c>
      <c r="I27" s="925"/>
      <c r="J27" s="263">
        <f>H27/$H$43</f>
        <v>8.8447874766452109E-3</v>
      </c>
      <c r="K27" s="664"/>
      <c r="L27" s="645"/>
    </row>
    <row r="28" spans="2:16">
      <c r="B28" s="680">
        <f>SUM('J1 Form'!K29:K33)</f>
        <v>1534.3999999999999</v>
      </c>
      <c r="C28" s="930" t="s">
        <v>2460</v>
      </c>
      <c r="D28" s="931"/>
      <c r="E28" s="924">
        <f>SUM('J1 Form'!L29:L33)</f>
        <v>13815.298799999997</v>
      </c>
      <c r="F28" s="925"/>
      <c r="G28" s="263">
        <f t="shared" si="5"/>
        <v>0.32744464869533374</v>
      </c>
      <c r="H28" s="924">
        <f>SUM('J1 Form'!M29:M33)</f>
        <v>698.97302000000002</v>
      </c>
      <c r="I28" s="925"/>
      <c r="J28" s="263">
        <f>H28/$H$43</f>
        <v>5.3235751432092332E-2</v>
      </c>
      <c r="K28" s="664"/>
      <c r="L28" s="645"/>
    </row>
    <row r="29" spans="2:16">
      <c r="B29" s="680">
        <f>SUM('J1 Form'!K34:K35)</f>
        <v>0</v>
      </c>
      <c r="C29" s="930" t="s">
        <v>2461</v>
      </c>
      <c r="D29" s="931"/>
      <c r="E29" s="961">
        <f>'J1 Form'!L34+'J1 Form'!L35</f>
        <v>0</v>
      </c>
      <c r="F29" s="962"/>
      <c r="G29" s="263">
        <f t="shared" si="5"/>
        <v>0</v>
      </c>
      <c r="H29" s="924">
        <f>SUM('J1 Form'!M34:M35)</f>
        <v>0</v>
      </c>
      <c r="I29" s="925"/>
      <c r="J29" s="260">
        <f>H29/$H$43</f>
        <v>0</v>
      </c>
      <c r="K29" s="665"/>
      <c r="L29" s="646"/>
    </row>
    <row r="30" spans="2:16">
      <c r="B30" s="680">
        <f>SUM('J1 Form'!K36:K37)</f>
        <v>658.1875</v>
      </c>
      <c r="C30" s="930" t="s">
        <v>2462</v>
      </c>
      <c r="D30" s="931"/>
      <c r="E30" s="924">
        <f>SUM('J1 Form'!L36:L37)</f>
        <v>5199.6812500000005</v>
      </c>
      <c r="F30" s="925"/>
      <c r="G30" s="263">
        <f t="shared" si="5"/>
        <v>0.12324075106026403</v>
      </c>
      <c r="H30" s="655"/>
      <c r="I30" s="656"/>
      <c r="J30" s="657"/>
      <c r="K30" s="663"/>
      <c r="L30" s="642"/>
    </row>
    <row r="31" spans="2:16">
      <c r="B31" s="680">
        <f>SUM('J1 Form'!K38:K40)</f>
        <v>1573.3600000000001</v>
      </c>
      <c r="C31" s="930" t="s">
        <v>1190</v>
      </c>
      <c r="D31" s="931"/>
      <c r="E31" s="924">
        <f>SUM('J1 Form'!L38:L40)</f>
        <v>3231.6814399999998</v>
      </c>
      <c r="F31" s="925"/>
      <c r="G31" s="263">
        <f t="shared" si="5"/>
        <v>7.6596012083070569E-2</v>
      </c>
      <c r="H31" s="924">
        <f>'J1 Form'!M38+'J1 Form'!M39+'J1 Form'!M40</f>
        <v>0</v>
      </c>
      <c r="I31" s="925"/>
      <c r="J31" s="263">
        <f>H31/$H$43</f>
        <v>0</v>
      </c>
      <c r="K31" s="664"/>
      <c r="L31" s="645"/>
    </row>
    <row r="32" spans="2:16">
      <c r="B32" s="680">
        <f>SUM('J1 Form'!K41:K42)</f>
        <v>0</v>
      </c>
      <c r="C32" s="930" t="s">
        <v>2463</v>
      </c>
      <c r="D32" s="931"/>
      <c r="E32" s="924">
        <f>'J1 Form'!L41+'J1 Form'!L42</f>
        <v>0</v>
      </c>
      <c r="F32" s="925"/>
      <c r="G32" s="263">
        <f t="shared" si="5"/>
        <v>0</v>
      </c>
      <c r="H32" s="924">
        <f>'J1 Form'!M41+'J1 Form'!M42</f>
        <v>0</v>
      </c>
      <c r="I32" s="925"/>
      <c r="J32" s="263">
        <f>H32/$H$43</f>
        <v>0</v>
      </c>
      <c r="K32" s="664"/>
      <c r="L32" s="645"/>
    </row>
    <row r="33" spans="2:12">
      <c r="B33" s="680">
        <f>SUM('J1 Form'!K43:K44)</f>
        <v>0</v>
      </c>
      <c r="C33" s="930" t="s">
        <v>2464</v>
      </c>
      <c r="D33" s="931"/>
      <c r="E33" s="924">
        <f>SUM('J1 Form'!L43:L44)</f>
        <v>0</v>
      </c>
      <c r="F33" s="925"/>
      <c r="G33" s="263">
        <f t="shared" si="5"/>
        <v>0</v>
      </c>
      <c r="H33" s="924">
        <f>SUM('J1 Form'!M43:M44)</f>
        <v>0</v>
      </c>
      <c r="I33" s="925"/>
      <c r="J33" s="263">
        <f>H33/$H$43</f>
        <v>0</v>
      </c>
      <c r="K33" s="664"/>
      <c r="L33" s="645"/>
    </row>
    <row r="34" spans="2:12">
      <c r="B34" s="680">
        <f>'J1 Form'!K45</f>
        <v>0</v>
      </c>
      <c r="C34" s="930" t="s">
        <v>2574</v>
      </c>
      <c r="D34" s="931"/>
      <c r="E34" s="924">
        <f>'J1 Form'!L45</f>
        <v>0</v>
      </c>
      <c r="F34" s="925"/>
      <c r="G34" s="263">
        <f t="shared" si="5"/>
        <v>0</v>
      </c>
      <c r="H34" s="924">
        <f>'J1 Form'!M45</f>
        <v>0</v>
      </c>
      <c r="I34" s="925"/>
      <c r="J34" s="263">
        <f>H34/$H$43</f>
        <v>0</v>
      </c>
      <c r="K34" s="664"/>
      <c r="L34" s="645"/>
    </row>
    <row r="35" spans="2:12">
      <c r="B35" s="680">
        <f>SUM('J1 Form'!K46)</f>
        <v>0</v>
      </c>
      <c r="C35" s="930" t="s">
        <v>2465</v>
      </c>
      <c r="D35" s="931"/>
      <c r="E35" s="924">
        <f>'J1 Form'!L46</f>
        <v>0</v>
      </c>
      <c r="F35" s="925"/>
      <c r="G35" s="263">
        <f t="shared" si="5"/>
        <v>0</v>
      </c>
      <c r="H35" s="655"/>
      <c r="I35" s="656"/>
      <c r="J35" s="657"/>
      <c r="K35" s="663"/>
      <c r="L35" s="642"/>
    </row>
    <row r="36" spans="2:12">
      <c r="B36" s="680">
        <f>'J1 Form'!K47</f>
        <v>1185.8</v>
      </c>
      <c r="C36" s="930" t="s">
        <v>1385</v>
      </c>
      <c r="D36" s="931"/>
      <c r="E36" s="924">
        <f>'J1 Form'!L47</f>
        <v>1873.5640000000001</v>
      </c>
      <c r="F36" s="925"/>
      <c r="G36" s="263">
        <f t="shared" si="5"/>
        <v>4.4406459438157388E-2</v>
      </c>
      <c r="H36" s="655"/>
      <c r="I36" s="656"/>
      <c r="J36" s="657"/>
      <c r="K36" s="661"/>
      <c r="L36" s="641"/>
    </row>
    <row r="37" spans="2:12">
      <c r="B37" s="680">
        <f>SUM('J1 Form'!K48:K49)</f>
        <v>0</v>
      </c>
      <c r="C37" s="930" t="s">
        <v>2466</v>
      </c>
      <c r="D37" s="931"/>
      <c r="E37" s="924">
        <f>SUM('J1 Form'!L48:L49)</f>
        <v>0</v>
      </c>
      <c r="F37" s="925"/>
      <c r="G37" s="263">
        <f t="shared" si="5"/>
        <v>0</v>
      </c>
      <c r="H37" s="924">
        <f>SUM('J1 Form'!M48:M49)</f>
        <v>0</v>
      </c>
      <c r="I37" s="925"/>
      <c r="J37" s="263">
        <f t="shared" ref="J37:J43" si="6">H37/$H$43</f>
        <v>0</v>
      </c>
      <c r="K37" s="664"/>
      <c r="L37" s="645"/>
    </row>
    <row r="38" spans="2:12">
      <c r="B38" s="981"/>
      <c r="C38" s="930" t="s">
        <v>1191</v>
      </c>
      <c r="D38" s="931"/>
      <c r="E38" s="924">
        <f>'J1 Form'!L50</f>
        <v>6032.5060945599998</v>
      </c>
      <c r="F38" s="925"/>
      <c r="G38" s="263">
        <f t="shared" si="5"/>
        <v>0.14298003014496213</v>
      </c>
      <c r="H38" s="924">
        <f>'J1 Form'!M50</f>
        <v>343.62376488000001</v>
      </c>
      <c r="I38" s="925"/>
      <c r="J38" s="263">
        <f t="shared" si="6"/>
        <v>2.6171352555655752E-2</v>
      </c>
      <c r="K38" s="664"/>
      <c r="L38" s="645"/>
    </row>
    <row r="39" spans="2:12">
      <c r="B39" s="982"/>
      <c r="C39" s="930" t="s">
        <v>1193</v>
      </c>
      <c r="D39" s="931"/>
      <c r="E39" s="652"/>
      <c r="F39" s="653"/>
      <c r="G39" s="654"/>
      <c r="H39" s="924">
        <f>'J1 Form'!M53+'J1 Form'!M54</f>
        <v>1890</v>
      </c>
      <c r="I39" s="925"/>
      <c r="J39" s="263">
        <f t="shared" si="6"/>
        <v>0.14394771661809566</v>
      </c>
      <c r="K39" s="664"/>
      <c r="L39" s="645"/>
    </row>
    <row r="40" spans="2:12">
      <c r="B40" s="982"/>
      <c r="C40" s="930" t="s">
        <v>2238</v>
      </c>
      <c r="D40" s="931"/>
      <c r="E40" s="924">
        <f>'J1 Form'!L56</f>
        <v>0</v>
      </c>
      <c r="F40" s="925"/>
      <c r="G40" s="263">
        <f>E40/$E$43</f>
        <v>0</v>
      </c>
      <c r="H40" s="924">
        <f>'J1 Form'!M56</f>
        <v>0</v>
      </c>
      <c r="I40" s="925"/>
      <c r="J40" s="263">
        <f t="shared" si="6"/>
        <v>0</v>
      </c>
      <c r="K40" s="664"/>
      <c r="L40" s="645"/>
    </row>
    <row r="41" spans="2:12">
      <c r="B41" s="982"/>
      <c r="C41" s="930" t="s">
        <v>1202</v>
      </c>
      <c r="D41" s="931"/>
      <c r="E41" s="924">
        <f>'J1 Form'!L59</f>
        <v>0</v>
      </c>
      <c r="F41" s="925"/>
      <c r="G41" s="263">
        <f>E41/$E$43</f>
        <v>0</v>
      </c>
      <c r="H41" s="924">
        <f>'J1 Form'!M59</f>
        <v>0</v>
      </c>
      <c r="I41" s="925"/>
      <c r="J41" s="263">
        <f t="shared" si="6"/>
        <v>0</v>
      </c>
      <c r="K41" s="664"/>
      <c r="L41" s="645"/>
    </row>
    <row r="42" spans="2:12" ht="15.75" thickBot="1">
      <c r="B42" s="982"/>
      <c r="C42" s="986" t="s">
        <v>1255</v>
      </c>
      <c r="D42" s="987"/>
      <c r="E42" s="970"/>
      <c r="F42" s="971"/>
      <c r="G42" s="972"/>
      <c r="H42" s="951">
        <f>'J1 Form'!M60</f>
        <v>1707</v>
      </c>
      <c r="I42" s="973"/>
      <c r="J42" s="265">
        <f t="shared" si="6"/>
        <v>0.13000992183443877</v>
      </c>
      <c r="K42" s="664"/>
      <c r="L42" s="645"/>
    </row>
    <row r="43" spans="2:12" ht="15.75" thickBot="1">
      <c r="B43" s="982"/>
      <c r="C43" s="978" t="s">
        <v>2467</v>
      </c>
      <c r="D43" s="980"/>
      <c r="E43" s="953">
        <f>'J1 Form'!L61</f>
        <v>42191.249284559992</v>
      </c>
      <c r="F43" s="969"/>
      <c r="G43" s="276">
        <f>E43/$E$43</f>
        <v>1</v>
      </c>
      <c r="H43" s="953">
        <f>'J1 Form'!M61</f>
        <v>13129.767143262961</v>
      </c>
      <c r="I43" s="969"/>
      <c r="J43" s="276">
        <f t="shared" si="6"/>
        <v>1</v>
      </c>
      <c r="K43" s="664"/>
      <c r="L43" s="645"/>
    </row>
    <row r="44" spans="2:12" ht="15.75" thickBot="1">
      <c r="B44" s="982"/>
      <c r="C44" s="984" t="s">
        <v>2468</v>
      </c>
      <c r="D44" s="985"/>
      <c r="E44" s="963"/>
      <c r="F44" s="964"/>
      <c r="G44" s="965"/>
      <c r="H44" s="976">
        <f>SUM('J1 Form'!M68)</f>
        <v>1048.446367904</v>
      </c>
      <c r="I44" s="977"/>
      <c r="J44" s="959"/>
      <c r="K44" s="666"/>
      <c r="L44" s="643"/>
    </row>
    <row r="45" spans="2:12" ht="15.75" thickBot="1">
      <c r="B45" s="983"/>
      <c r="C45" s="978" t="s">
        <v>2469</v>
      </c>
      <c r="D45" s="980"/>
      <c r="E45" s="966"/>
      <c r="F45" s="967"/>
      <c r="G45" s="968"/>
      <c r="H45" s="974">
        <f>H43+H44</f>
        <v>14178.213511166961</v>
      </c>
      <c r="I45" s="975"/>
      <c r="J45" s="960"/>
      <c r="K45" s="667"/>
      <c r="L45" s="643"/>
    </row>
    <row r="46" spans="2:12">
      <c r="B46" s="644"/>
      <c r="C46" s="644"/>
      <c r="D46" s="644"/>
      <c r="E46" s="644"/>
      <c r="F46" s="644"/>
      <c r="G46" s="644"/>
      <c r="H46" s="644"/>
      <c r="I46" s="644"/>
      <c r="J46" s="644"/>
    </row>
    <row r="47" spans="2:12">
      <c r="B47" s="644"/>
      <c r="C47" s="644"/>
      <c r="D47" s="644"/>
      <c r="E47" s="644"/>
      <c r="F47" s="644"/>
      <c r="G47" s="644"/>
      <c r="H47" s="644"/>
      <c r="I47" s="644"/>
      <c r="J47" s="644"/>
    </row>
    <row r="48" spans="2:12">
      <c r="B48" s="644"/>
      <c r="C48" s="644"/>
      <c r="D48" s="644"/>
      <c r="E48" s="644"/>
      <c r="F48" s="644"/>
      <c r="G48" s="644"/>
      <c r="H48" s="644"/>
      <c r="I48" s="644"/>
      <c r="J48" s="644"/>
    </row>
    <row r="49" spans="2:10">
      <c r="B49" s="644"/>
      <c r="C49" s="644"/>
      <c r="D49" s="644"/>
      <c r="E49" s="644"/>
      <c r="F49" s="644"/>
      <c r="G49" s="644"/>
      <c r="H49" s="644"/>
      <c r="I49" s="644"/>
      <c r="J49" s="644"/>
    </row>
    <row r="50" spans="2:10">
      <c r="B50" s="644"/>
      <c r="C50" s="644"/>
      <c r="D50" s="644"/>
      <c r="E50" s="644"/>
      <c r="F50" s="644"/>
      <c r="G50" s="644"/>
      <c r="H50" s="644"/>
      <c r="I50" s="644"/>
      <c r="J50" s="644"/>
    </row>
    <row r="51" spans="2:10">
      <c r="B51" s="644"/>
      <c r="C51" s="644"/>
      <c r="D51" s="644"/>
      <c r="E51" s="644"/>
      <c r="F51" s="644"/>
      <c r="G51" s="644"/>
      <c r="H51" s="644"/>
      <c r="I51" s="644"/>
      <c r="J51" s="644"/>
    </row>
    <row r="52" spans="2:10">
      <c r="B52" s="644"/>
      <c r="C52" s="644"/>
      <c r="D52" s="644"/>
      <c r="E52" s="644"/>
      <c r="F52" s="644"/>
      <c r="G52" s="644"/>
      <c r="H52" s="644"/>
      <c r="I52" s="644"/>
      <c r="J52" s="644"/>
    </row>
    <row r="53" spans="2:10">
      <c r="B53" s="644"/>
      <c r="C53" s="644"/>
      <c r="D53" s="644"/>
      <c r="E53" s="644"/>
      <c r="F53" s="644"/>
      <c r="G53" s="644"/>
      <c r="H53" s="644"/>
      <c r="I53" s="644"/>
      <c r="J53" s="644"/>
    </row>
    <row r="54" spans="2:10">
      <c r="B54" s="644"/>
      <c r="C54" s="644"/>
      <c r="D54" s="644"/>
      <c r="E54" s="644"/>
      <c r="F54" s="644"/>
      <c r="G54" s="644"/>
      <c r="H54" s="644"/>
      <c r="I54" s="644"/>
      <c r="J54" s="644"/>
    </row>
    <row r="55" spans="2:10">
      <c r="B55" s="644"/>
      <c r="C55" s="644"/>
      <c r="D55" s="644"/>
      <c r="E55" s="644"/>
      <c r="F55" s="644"/>
      <c r="G55" s="644"/>
      <c r="H55" s="644"/>
      <c r="I55" s="644"/>
      <c r="J55" s="644"/>
    </row>
    <row r="56" spans="2:10">
      <c r="B56" s="644"/>
      <c r="C56" s="644"/>
      <c r="D56" s="644"/>
      <c r="E56" s="644"/>
      <c r="F56" s="644"/>
      <c r="G56" s="644"/>
      <c r="H56" s="644"/>
      <c r="I56" s="644"/>
      <c r="J56" s="644"/>
    </row>
    <row r="57" spans="2:10">
      <c r="B57" s="644"/>
      <c r="C57" s="644"/>
      <c r="D57" s="644"/>
      <c r="E57" s="644"/>
      <c r="F57" s="644"/>
      <c r="G57" s="644"/>
      <c r="H57" s="644"/>
      <c r="I57" s="644"/>
      <c r="J57" s="644"/>
    </row>
    <row r="58" spans="2:10">
      <c r="B58" s="644"/>
      <c r="C58" s="644"/>
      <c r="D58" s="644"/>
      <c r="E58" s="644"/>
      <c r="F58" s="644"/>
      <c r="G58" s="644"/>
      <c r="H58" s="644"/>
      <c r="I58" s="644"/>
      <c r="J58" s="644"/>
    </row>
    <row r="59" spans="2:10">
      <c r="B59" s="644"/>
      <c r="C59" s="644"/>
      <c r="D59" s="644"/>
      <c r="E59" s="644"/>
      <c r="F59" s="644"/>
      <c r="G59" s="644"/>
      <c r="H59" s="644"/>
      <c r="I59" s="644"/>
      <c r="J59" s="644"/>
    </row>
    <row r="60" spans="2:10">
      <c r="B60" s="644"/>
      <c r="C60" s="644"/>
      <c r="D60" s="644"/>
      <c r="E60" s="644"/>
      <c r="F60" s="644"/>
      <c r="G60" s="644"/>
      <c r="H60" s="644"/>
      <c r="I60" s="644"/>
      <c r="J60" s="644"/>
    </row>
    <row r="61" spans="2:10">
      <c r="B61" s="644"/>
      <c r="C61" s="644"/>
      <c r="D61" s="644"/>
      <c r="E61" s="644"/>
      <c r="F61" s="644"/>
      <c r="G61" s="644"/>
      <c r="H61" s="644"/>
      <c r="I61" s="644"/>
      <c r="J61" s="644"/>
    </row>
    <row r="62" spans="2:10">
      <c r="B62" s="644"/>
      <c r="C62" s="644"/>
      <c r="D62" s="644"/>
      <c r="E62" s="644"/>
      <c r="F62" s="644"/>
      <c r="G62" s="644"/>
      <c r="H62" s="644"/>
      <c r="I62" s="644"/>
      <c r="J62" s="644"/>
    </row>
    <row r="63" spans="2:10">
      <c r="B63" s="644"/>
      <c r="C63" s="644"/>
      <c r="D63" s="644"/>
      <c r="E63" s="644"/>
      <c r="F63" s="644"/>
      <c r="G63" s="644"/>
      <c r="H63" s="644"/>
      <c r="I63" s="644"/>
      <c r="J63" s="644"/>
    </row>
    <row r="64" spans="2:10">
      <c r="B64" s="644"/>
      <c r="C64" s="644"/>
      <c r="D64" s="644"/>
      <c r="E64" s="644"/>
      <c r="F64" s="644"/>
      <c r="G64" s="644"/>
      <c r="H64" s="644"/>
      <c r="I64" s="644"/>
      <c r="J64" s="644"/>
    </row>
    <row r="65" s="644" customFormat="1"/>
    <row r="66" s="644" customFormat="1"/>
    <row r="67" s="644" customFormat="1"/>
    <row r="68" s="644" customFormat="1"/>
    <row r="69" s="644" customFormat="1"/>
    <row r="70" s="644" customFormat="1"/>
    <row r="71" s="644" customFormat="1"/>
    <row r="72" s="644" customFormat="1"/>
    <row r="73" s="644" customFormat="1"/>
    <row r="74" s="644" customFormat="1"/>
    <row r="75" s="644" customFormat="1"/>
    <row r="76" s="644" customFormat="1"/>
    <row r="77" s="644" customFormat="1"/>
    <row r="78" s="644" customFormat="1"/>
    <row r="79" s="644" customFormat="1"/>
    <row r="80" s="644" customFormat="1"/>
    <row r="81" s="644" customFormat="1"/>
    <row r="82" s="644" customFormat="1"/>
    <row r="83" s="644" customFormat="1"/>
    <row r="84" s="644" customFormat="1"/>
    <row r="85" s="644" customFormat="1"/>
    <row r="86" s="644" customFormat="1"/>
    <row r="87" s="644" customFormat="1"/>
    <row r="88" s="644" customFormat="1"/>
    <row r="89" s="644" customFormat="1"/>
    <row r="90" s="644" customFormat="1"/>
    <row r="91" s="644" customFormat="1"/>
    <row r="92" s="644" customFormat="1"/>
    <row r="93" s="644" customFormat="1"/>
    <row r="94" s="644" customFormat="1"/>
    <row r="95" s="644" customFormat="1"/>
    <row r="96" s="644" customFormat="1"/>
    <row r="97" s="644" customFormat="1"/>
    <row r="98" s="644" customFormat="1"/>
    <row r="99" s="644" customFormat="1"/>
    <row r="100" s="644" customFormat="1"/>
    <row r="101" s="644" customFormat="1"/>
  </sheetData>
  <sheetProtection password="DEC5" sheet="1"/>
  <mergeCells count="122">
    <mergeCell ref="E34:F34"/>
    <mergeCell ref="H34:I34"/>
    <mergeCell ref="C36:D36"/>
    <mergeCell ref="C33:D33"/>
    <mergeCell ref="B38:B45"/>
    <mergeCell ref="C38:D38"/>
    <mergeCell ref="C39:D39"/>
    <mergeCell ref="C44:D44"/>
    <mergeCell ref="C45:D45"/>
    <mergeCell ref="C40:D40"/>
    <mergeCell ref="C41:D41"/>
    <mergeCell ref="C42:D42"/>
    <mergeCell ref="C43:D43"/>
    <mergeCell ref="E37:F37"/>
    <mergeCell ref="E38:F38"/>
    <mergeCell ref="C28:D28"/>
    <mergeCell ref="C35:D35"/>
    <mergeCell ref="C37:D37"/>
    <mergeCell ref="C29:D29"/>
    <mergeCell ref="C30:D30"/>
    <mergeCell ref="C31:D31"/>
    <mergeCell ref="C32:D32"/>
    <mergeCell ref="C34:D34"/>
    <mergeCell ref="B22:D22"/>
    <mergeCell ref="J44:J45"/>
    <mergeCell ref="E29:F29"/>
    <mergeCell ref="E30:F30"/>
    <mergeCell ref="E31:F31"/>
    <mergeCell ref="E32:F32"/>
    <mergeCell ref="E33:F33"/>
    <mergeCell ref="E35:F35"/>
    <mergeCell ref="E36:F36"/>
    <mergeCell ref="C27:D27"/>
    <mergeCell ref="E44:G45"/>
    <mergeCell ref="H43:I43"/>
    <mergeCell ref="E40:F40"/>
    <mergeCell ref="E41:F41"/>
    <mergeCell ref="E42:G42"/>
    <mergeCell ref="E43:F43"/>
    <mergeCell ref="H42:I42"/>
    <mergeCell ref="H41:I41"/>
    <mergeCell ref="H38:I38"/>
    <mergeCell ref="H39:I39"/>
    <mergeCell ref="H40:I40"/>
    <mergeCell ref="H45:I45"/>
    <mergeCell ref="H44:I44"/>
    <mergeCell ref="H27:I27"/>
    <mergeCell ref="H28:I28"/>
    <mergeCell ref="H17:I17"/>
    <mergeCell ref="H25:I25"/>
    <mergeCell ref="H18:I18"/>
    <mergeCell ref="B23:J23"/>
    <mergeCell ref="H22:I22"/>
    <mergeCell ref="E21:F21"/>
    <mergeCell ref="B20:D20"/>
    <mergeCell ref="E22:F22"/>
    <mergeCell ref="B19:D19"/>
    <mergeCell ref="E19:F19"/>
    <mergeCell ref="H21:I21"/>
    <mergeCell ref="H19:I19"/>
    <mergeCell ref="B21:D21"/>
    <mergeCell ref="H20:I20"/>
    <mergeCell ref="E20:F20"/>
    <mergeCell ref="E24:G24"/>
    <mergeCell ref="H24:J24"/>
    <mergeCell ref="B8:D8"/>
    <mergeCell ref="E6:F6"/>
    <mergeCell ref="E7:F7"/>
    <mergeCell ref="H8:I8"/>
    <mergeCell ref="B7:D7"/>
    <mergeCell ref="B6:D6"/>
    <mergeCell ref="H6:I6"/>
    <mergeCell ref="E8:F8"/>
    <mergeCell ref="H7:I7"/>
    <mergeCell ref="H10:I10"/>
    <mergeCell ref="E9:F9"/>
    <mergeCell ref="E10:F10"/>
    <mergeCell ref="H9:I9"/>
    <mergeCell ref="B10:D10"/>
    <mergeCell ref="B15:D15"/>
    <mergeCell ref="B16:D16"/>
    <mergeCell ref="B13:D13"/>
    <mergeCell ref="B18:D18"/>
    <mergeCell ref="B12:D12"/>
    <mergeCell ref="H12:I12"/>
    <mergeCell ref="E12:F12"/>
    <mergeCell ref="B14:D14"/>
    <mergeCell ref="B17:D17"/>
    <mergeCell ref="H15:I15"/>
    <mergeCell ref="H13:I13"/>
    <mergeCell ref="E13:F13"/>
    <mergeCell ref="H14:I14"/>
    <mergeCell ref="E14:F14"/>
    <mergeCell ref="E15:F15"/>
    <mergeCell ref="E18:F18"/>
    <mergeCell ref="E16:F16"/>
    <mergeCell ref="E17:F17"/>
    <mergeCell ref="H16:I16"/>
    <mergeCell ref="K4:K6"/>
    <mergeCell ref="B2:K2"/>
    <mergeCell ref="B3:K3"/>
    <mergeCell ref="G5:I5"/>
    <mergeCell ref="B4:B5"/>
    <mergeCell ref="C4:F5"/>
    <mergeCell ref="G4:I4"/>
    <mergeCell ref="H29:I29"/>
    <mergeCell ref="H37:I37"/>
    <mergeCell ref="H31:I31"/>
    <mergeCell ref="H32:I32"/>
    <mergeCell ref="H33:I33"/>
    <mergeCell ref="H26:I26"/>
    <mergeCell ref="E25:F25"/>
    <mergeCell ref="E26:F26"/>
    <mergeCell ref="C24:D24"/>
    <mergeCell ref="C25:D25"/>
    <mergeCell ref="C26:D26"/>
    <mergeCell ref="E27:F27"/>
    <mergeCell ref="E28:F28"/>
    <mergeCell ref="B9:D9"/>
    <mergeCell ref="H11:I11"/>
    <mergeCell ref="E11:F11"/>
    <mergeCell ref="B11:D11"/>
  </mergeCells>
  <phoneticPr fontId="25" type="noConversion"/>
  <printOptions horizontalCentered="1"/>
  <pageMargins left="0.25" right="0.25" top="0.25" bottom="0.25" header="0" footer="0"/>
  <pageSetup scale="99" orientation="portrait" blackAndWhite="1" horizontalDpi="300" verticalDpi="300" r:id="rId1"/>
  <headerFooter alignWithMargins="0"/>
  <customProperties>
    <customPr name="SSCSheetTrackingNo" r:id="rId2"/>
  </customProperties>
  <ignoredErrors>
    <ignoredError sqref="H39" 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tabColor indexed="17"/>
  </sheetPr>
  <dimension ref="B1:AK37"/>
  <sheetViews>
    <sheetView showGridLines="0" showRowColHeaders="0" topLeftCell="A2" zoomScale="75" workbookViewId="0">
      <selection activeCell="C6" sqref="C6"/>
    </sheetView>
  </sheetViews>
  <sheetFormatPr defaultColWidth="8.88671875" defaultRowHeight="15" customHeight="1"/>
  <cols>
    <col min="1" max="1" width="1.77734375" style="4" customWidth="1"/>
    <col min="2" max="2" width="3.5546875" style="4" bestFit="1" customWidth="1"/>
    <col min="3" max="3" width="37.77734375" style="4" customWidth="1"/>
    <col min="4" max="4" width="6.77734375" style="4" customWidth="1"/>
    <col min="5" max="5" width="6.77734375" style="4" hidden="1" customWidth="1"/>
    <col min="6" max="8" width="7.88671875" style="4" hidden="1" customWidth="1"/>
    <col min="9" max="9" width="7.77734375" style="4" hidden="1" customWidth="1"/>
    <col min="10" max="12" width="7.77734375" style="4" customWidth="1"/>
    <col min="13" max="13" width="9.77734375" style="4" customWidth="1"/>
    <col min="14" max="14" width="8.77734375" style="4" customWidth="1"/>
    <col min="15" max="15" width="2.77734375" style="4" customWidth="1"/>
    <col min="16" max="17" width="6.77734375" style="4" customWidth="1"/>
    <col min="18" max="18" width="6.44140625" style="4" bestFit="1" customWidth="1"/>
    <col min="19" max="19" width="7.6640625" style="4" hidden="1" customWidth="1"/>
    <col min="20" max="20" width="9.77734375" style="4" hidden="1" customWidth="1"/>
    <col min="21" max="21" width="13.109375" style="4" hidden="1" customWidth="1"/>
    <col min="22" max="22" width="10.6640625" style="4" hidden="1" customWidth="1"/>
    <col min="23" max="23" width="11.109375" style="4" hidden="1" customWidth="1"/>
    <col min="24" max="24" width="10" style="4" hidden="1" customWidth="1"/>
    <col min="25" max="25" width="4.44140625" style="4" hidden="1" customWidth="1"/>
    <col min="26" max="26" width="4.21875" style="4" hidden="1" customWidth="1"/>
    <col min="27" max="27" width="5.88671875" style="4" hidden="1" customWidth="1"/>
    <col min="28" max="28" width="7.109375" style="4" hidden="1" customWidth="1"/>
    <col min="29" max="29" width="6.6640625" style="4" hidden="1" customWidth="1"/>
    <col min="30" max="30" width="10.5546875" style="14" hidden="1" customWidth="1"/>
    <col min="31" max="31" width="3.88671875" style="4" hidden="1" customWidth="1"/>
    <col min="32" max="32" width="2.88671875" style="4" hidden="1" customWidth="1"/>
    <col min="33" max="33" width="3.5546875" style="4" hidden="1" customWidth="1"/>
    <col min="34" max="34" width="5.5546875" style="4" hidden="1" customWidth="1"/>
    <col min="35" max="35" width="3.5546875" style="4" hidden="1" customWidth="1"/>
    <col min="36" max="36" width="5.33203125" style="4" hidden="1" customWidth="1"/>
    <col min="37" max="37" width="4.21875" style="4" hidden="1" customWidth="1"/>
    <col min="38" max="38" width="4.21875" style="4" customWidth="1"/>
    <col min="39" max="41" width="3.5546875" style="4" customWidth="1"/>
    <col min="42" max="42" width="1.77734375" style="4" customWidth="1"/>
    <col min="43" max="16384" width="8.88671875" style="4"/>
  </cols>
  <sheetData>
    <row r="1" spans="2:37" ht="9.9499999999999993" customHeight="1" thickBot="1"/>
    <row r="2" spans="2:37" ht="15" customHeight="1" thickBot="1">
      <c r="B2" s="422" t="s">
        <v>2453</v>
      </c>
      <c r="C2" s="33"/>
      <c r="D2" s="33"/>
      <c r="E2" s="33"/>
      <c r="F2" s="33"/>
      <c r="G2" s="33"/>
      <c r="H2" s="33"/>
      <c r="I2" s="33"/>
      <c r="J2" s="33"/>
      <c r="K2" s="33"/>
      <c r="L2" s="33"/>
      <c r="M2" s="33"/>
      <c r="N2" s="299"/>
      <c r="O2" s="26"/>
      <c r="P2" s="34" t="s">
        <v>1084</v>
      </c>
      <c r="Q2" s="27"/>
      <c r="R2" s="28"/>
      <c r="S2" s="616"/>
      <c r="T2" s="617"/>
      <c r="U2" s="617"/>
      <c r="V2" s="617"/>
      <c r="W2" s="617"/>
      <c r="X2" s="617"/>
      <c r="Y2" s="618"/>
      <c r="Z2" s="618"/>
      <c r="AA2" s="618"/>
      <c r="AB2" s="618"/>
      <c r="AC2" s="619"/>
      <c r="AD2" s="4"/>
    </row>
    <row r="3" spans="2:37" ht="54.95" customHeight="1" thickBot="1">
      <c r="B3" s="423" t="s">
        <v>1356</v>
      </c>
      <c r="C3" s="17" t="s">
        <v>1059</v>
      </c>
      <c r="D3" s="17" t="s">
        <v>1375</v>
      </c>
      <c r="E3" s="17" t="s">
        <v>1374</v>
      </c>
      <c r="F3" s="17" t="s">
        <v>1376</v>
      </c>
      <c r="G3" s="17" t="s">
        <v>1377</v>
      </c>
      <c r="H3" s="17" t="s">
        <v>1380</v>
      </c>
      <c r="I3" s="17" t="s">
        <v>1066</v>
      </c>
      <c r="J3" s="17" t="s">
        <v>1067</v>
      </c>
      <c r="K3" s="17" t="s">
        <v>1068</v>
      </c>
      <c r="L3" s="17" t="s">
        <v>1069</v>
      </c>
      <c r="M3" s="608" t="s">
        <v>1083</v>
      </c>
      <c r="N3" s="24" t="s">
        <v>1379</v>
      </c>
      <c r="O3" s="29"/>
      <c r="P3" s="25"/>
      <c r="Q3" s="25"/>
      <c r="R3" s="30"/>
      <c r="S3" s="637" t="s">
        <v>1239</v>
      </c>
      <c r="T3" s="17" t="s">
        <v>1256</v>
      </c>
      <c r="U3" s="17" t="s">
        <v>1302</v>
      </c>
      <c r="V3" s="17" t="s">
        <v>1257</v>
      </c>
      <c r="W3" s="17" t="s">
        <v>1258</v>
      </c>
      <c r="X3" s="17" t="s">
        <v>1301</v>
      </c>
      <c r="Y3" s="17" t="s">
        <v>1355</v>
      </c>
      <c r="Z3" s="17" t="s">
        <v>1378</v>
      </c>
      <c r="AA3" s="17" t="s">
        <v>1353</v>
      </c>
      <c r="AB3" s="17" t="s">
        <v>1354</v>
      </c>
      <c r="AC3" s="24" t="s">
        <v>1352</v>
      </c>
      <c r="AD3" s="4"/>
    </row>
    <row r="4" spans="2:37" ht="15" customHeight="1">
      <c r="B4" s="424" t="s">
        <v>1240</v>
      </c>
      <c r="C4" s="585" t="s">
        <v>2798</v>
      </c>
      <c r="D4" s="586" t="s">
        <v>1254</v>
      </c>
      <c r="E4" s="659">
        <f>IF(C4="","",VLOOKUP(C4,Glass!$B$5:$C$12,2,FALSE)*'J1 Form'!$K$4)</f>
        <v>45.029999999999994</v>
      </c>
      <c r="F4" s="16">
        <f>IF(C4="","",VLOOKUP('Glass Sched'!C4,Glass!$B$5:$H$12,MATCH('Glass Sched'!D4,Glass!$D$3:$H$3,0)+2,FALSE))</f>
        <v>57</v>
      </c>
      <c r="G4" s="16">
        <f>IF(C4="","",VLOOKUP('Glass Sched'!C4,Glass!$B$5:$H$12,3,FALSE))</f>
        <v>18</v>
      </c>
      <c r="H4" s="16">
        <f>IF(C4="","",((AA4+AB4)/(W4+X4))*Y4*Z4)</f>
        <v>12.6</v>
      </c>
      <c r="I4" s="582">
        <v>1</v>
      </c>
      <c r="J4" s="582">
        <v>79</v>
      </c>
      <c r="K4" s="582">
        <v>96</v>
      </c>
      <c r="L4" s="582">
        <v>0</v>
      </c>
      <c r="M4" s="587" t="s">
        <v>1307</v>
      </c>
      <c r="N4" s="588" t="s">
        <v>1303</v>
      </c>
      <c r="O4" s="29"/>
      <c r="P4" s="25"/>
      <c r="Q4" s="25"/>
      <c r="R4" s="30"/>
      <c r="S4" s="634">
        <f>VLOOKUP($AE$4,$AF$5:$AK$30,MATCH(D4,$AG$4:$AK$4,0)+1)</f>
        <v>1.1299999999999999</v>
      </c>
      <c r="T4" s="16">
        <f t="shared" ref="T4:T15" si="0">K4*S4</f>
        <v>108.47999999999999</v>
      </c>
      <c r="U4" s="16">
        <f t="shared" ref="U4:U15" si="1">IF(T4-L4&lt;0,0,T4-L4)</f>
        <v>108.47999999999999</v>
      </c>
      <c r="V4" s="16">
        <f t="shared" ref="V4:V15" si="2">J4-U4</f>
        <v>-29.47999999999999</v>
      </c>
      <c r="W4" s="16">
        <f t="shared" ref="W4:W15" si="3">IF(U4&gt;J4,J4*I4,U4*I4)</f>
        <v>79</v>
      </c>
      <c r="X4" s="16">
        <f t="shared" ref="X4:X15" si="4">J4*I4-W4</f>
        <v>0</v>
      </c>
      <c r="Y4" s="15">
        <f>VLOOKUP(M4,$AD$15:$AE$18,2,FALSE)</f>
        <v>0.7</v>
      </c>
      <c r="Z4" s="15">
        <f t="shared" ref="Z4:Z15" si="5">VLOOKUP(N4,$AD$12:$AE$13,2,FALSE)</f>
        <v>1</v>
      </c>
      <c r="AA4" s="10">
        <f>(W4*G4)</f>
        <v>1422</v>
      </c>
      <c r="AB4" s="10">
        <f>X4*F4</f>
        <v>0</v>
      </c>
      <c r="AC4" s="18">
        <f>(((I4*J4)*E4))</f>
        <v>3557.3699999999994</v>
      </c>
      <c r="AD4" s="620" t="s">
        <v>1208</v>
      </c>
      <c r="AE4" s="621">
        <f>'J1 Form'!F7</f>
        <v>44</v>
      </c>
      <c r="AF4" s="622"/>
      <c r="AG4" s="621" t="s">
        <v>1225</v>
      </c>
      <c r="AH4" s="621" t="s">
        <v>1252</v>
      </c>
      <c r="AI4" s="621" t="s">
        <v>1253</v>
      </c>
      <c r="AJ4" s="621" t="s">
        <v>1254</v>
      </c>
      <c r="AK4" s="623" t="s">
        <v>1201</v>
      </c>
    </row>
    <row r="5" spans="2:37" ht="15" customHeight="1">
      <c r="B5" s="424" t="s">
        <v>1241</v>
      </c>
      <c r="C5" s="585" t="s">
        <v>2798</v>
      </c>
      <c r="D5" s="586" t="s">
        <v>1252</v>
      </c>
      <c r="E5" s="659">
        <f>IF(C5="","",VLOOKUP(C5,Glass!$B$5:$C$12,2,FALSE)*'J1 Form'!$K$4)</f>
        <v>45.029999999999994</v>
      </c>
      <c r="F5" s="16">
        <f>IF(C5="","",VLOOKUP('Glass Sched'!C5,Glass!$B$5:$H$12,MATCH('Glass Sched'!D5,Glass!$D$3:$H$3,0)+2,FALSE))</f>
        <v>46</v>
      </c>
      <c r="G5" s="16">
        <f>IF(C5="","",VLOOKUP('Glass Sched'!C5,Glass!$B$5:$H$12,3,FALSE))</f>
        <v>18</v>
      </c>
      <c r="H5" s="16">
        <f t="shared" ref="H5:H15" si="6">IF(C5="","",((AA5+AB5)/(W5+X5))*Y5*Z5)</f>
        <v>38.060759493670879</v>
      </c>
      <c r="I5" s="582">
        <v>1</v>
      </c>
      <c r="J5" s="582">
        <v>79</v>
      </c>
      <c r="K5" s="582">
        <v>16</v>
      </c>
      <c r="L5" s="582">
        <v>0</v>
      </c>
      <c r="M5" s="587" t="s">
        <v>1303</v>
      </c>
      <c r="N5" s="588" t="s">
        <v>1303</v>
      </c>
      <c r="O5" s="29"/>
      <c r="P5" s="25"/>
      <c r="Q5" s="486"/>
      <c r="R5" s="600" t="s">
        <v>1085</v>
      </c>
      <c r="S5" s="634">
        <f t="shared" ref="S5:S15" si="7">VLOOKUP($AE$4,$AF$5:$AK$30,MATCH(D5,$AG$4:$AK$4,0)+1)</f>
        <v>1.4</v>
      </c>
      <c r="T5" s="16">
        <f t="shared" si="0"/>
        <v>22.4</v>
      </c>
      <c r="U5" s="16">
        <f t="shared" si="1"/>
        <v>22.4</v>
      </c>
      <c r="V5" s="16">
        <f t="shared" si="2"/>
        <v>56.6</v>
      </c>
      <c r="W5" s="16">
        <f t="shared" si="3"/>
        <v>22.4</v>
      </c>
      <c r="X5" s="16">
        <f t="shared" si="4"/>
        <v>56.6</v>
      </c>
      <c r="Y5" s="15">
        <f t="shared" ref="Y5:Y15" si="8">VLOOKUP(M5,$AD$15:$AE$18,2,FALSE)</f>
        <v>1</v>
      </c>
      <c r="Z5" s="15">
        <f t="shared" si="5"/>
        <v>1</v>
      </c>
      <c r="AA5" s="10">
        <f t="shared" ref="AA5:AA15" si="9">(W5*G5)</f>
        <v>403.2</v>
      </c>
      <c r="AB5" s="10">
        <f t="shared" ref="AB5:AB15" si="10">X5*F5</f>
        <v>2603.6</v>
      </c>
      <c r="AC5" s="18">
        <f t="shared" ref="AC5:AC15" si="11">(((I5*J5)*E5))</f>
        <v>3557.3699999999994</v>
      </c>
      <c r="AD5" s="624"/>
      <c r="AE5" s="9"/>
      <c r="AF5" s="11">
        <v>25</v>
      </c>
      <c r="AG5" s="12">
        <v>0</v>
      </c>
      <c r="AH5" s="12">
        <v>1.06</v>
      </c>
      <c r="AI5" s="12">
        <v>0.83</v>
      </c>
      <c r="AJ5" s="12">
        <v>1.89</v>
      </c>
      <c r="AK5" s="625">
        <v>10.1</v>
      </c>
    </row>
    <row r="6" spans="2:37" ht="15" customHeight="1">
      <c r="B6" s="424" t="s">
        <v>1242</v>
      </c>
      <c r="C6" s="585" t="s">
        <v>2798</v>
      </c>
      <c r="D6" s="586" t="s">
        <v>1254</v>
      </c>
      <c r="E6" s="659">
        <f>IF(C6="","",VLOOKUP(C6,Glass!$B$5:$C$12,2,FALSE)*'J1 Form'!$K$4)</f>
        <v>45.029999999999994</v>
      </c>
      <c r="F6" s="16">
        <f>IF(C6="","",VLOOKUP('Glass Sched'!C6,Glass!$B$5:$H$12,MATCH('Glass Sched'!D6,Glass!$D$3:$H$3,0)+2,FALSE))</f>
        <v>57</v>
      </c>
      <c r="G6" s="16">
        <f>IF(C6="","",VLOOKUP('Glass Sched'!C6,Glass!$B$5:$H$12,3,FALSE))</f>
        <v>18</v>
      </c>
      <c r="H6" s="16">
        <f t="shared" si="6"/>
        <v>12.6</v>
      </c>
      <c r="I6" s="582">
        <v>1</v>
      </c>
      <c r="J6" s="582">
        <v>79</v>
      </c>
      <c r="K6" s="582">
        <v>96</v>
      </c>
      <c r="L6" s="582">
        <v>0</v>
      </c>
      <c r="M6" s="587" t="s">
        <v>1307</v>
      </c>
      <c r="N6" s="588" t="s">
        <v>1303</v>
      </c>
      <c r="O6" s="29"/>
      <c r="P6" s="25"/>
      <c r="Q6" s="486"/>
      <c r="R6" s="600"/>
      <c r="S6" s="634">
        <f t="shared" si="7"/>
        <v>1.1299999999999999</v>
      </c>
      <c r="T6" s="16">
        <f t="shared" si="0"/>
        <v>108.47999999999999</v>
      </c>
      <c r="U6" s="16">
        <f t="shared" si="1"/>
        <v>108.47999999999999</v>
      </c>
      <c r="V6" s="16">
        <f t="shared" si="2"/>
        <v>-29.47999999999999</v>
      </c>
      <c r="W6" s="16">
        <f t="shared" si="3"/>
        <v>79</v>
      </c>
      <c r="X6" s="16">
        <f t="shared" si="4"/>
        <v>0</v>
      </c>
      <c r="Y6" s="15">
        <f t="shared" si="8"/>
        <v>0.7</v>
      </c>
      <c r="Z6" s="15">
        <f t="shared" si="5"/>
        <v>1</v>
      </c>
      <c r="AA6" s="10">
        <f t="shared" si="9"/>
        <v>1422</v>
      </c>
      <c r="AB6" s="10">
        <f t="shared" si="10"/>
        <v>0</v>
      </c>
      <c r="AC6" s="18">
        <f t="shared" si="11"/>
        <v>3557.3699999999994</v>
      </c>
      <c r="AD6" s="626" t="s">
        <v>1253</v>
      </c>
      <c r="AE6" s="11">
        <v>1</v>
      </c>
      <c r="AF6" s="11">
        <v>26</v>
      </c>
      <c r="AG6" s="12">
        <v>0</v>
      </c>
      <c r="AH6" s="12">
        <v>1.06</v>
      </c>
      <c r="AI6" s="12">
        <v>0.83</v>
      </c>
      <c r="AJ6" s="12">
        <v>1.89</v>
      </c>
      <c r="AK6" s="625">
        <v>10.1</v>
      </c>
    </row>
    <row r="7" spans="2:37" ht="15" customHeight="1">
      <c r="B7" s="424" t="s">
        <v>1243</v>
      </c>
      <c r="C7" s="585" t="s">
        <v>2799</v>
      </c>
      <c r="D7" s="586" t="s">
        <v>1252</v>
      </c>
      <c r="E7" s="659">
        <f>IF(C7="","",VLOOKUP(C7,Glass!$B$5:$C$12,2,FALSE)*'J1 Form'!$K$4)</f>
        <v>45.029999999999994</v>
      </c>
      <c r="F7" s="16">
        <f>IF(C7="","",VLOOKUP('Glass Sched'!C7,Glass!$B$5:$H$12,MATCH('Glass Sched'!D7,Glass!$D$3:$H$3,0)+2,FALSE))</f>
        <v>46</v>
      </c>
      <c r="G7" s="16">
        <f>IF(C7="","",VLOOKUP('Glass Sched'!C7,Glass!$B$5:$H$12,3,FALSE))</f>
        <v>18</v>
      </c>
      <c r="H7" s="16">
        <f t="shared" si="6"/>
        <v>34.221596244131462</v>
      </c>
      <c r="I7" s="582">
        <v>1</v>
      </c>
      <c r="J7" s="582">
        <v>53.25</v>
      </c>
      <c r="K7" s="582">
        <v>16</v>
      </c>
      <c r="L7" s="582">
        <v>0</v>
      </c>
      <c r="M7" s="587" t="s">
        <v>1303</v>
      </c>
      <c r="N7" s="588" t="s">
        <v>1303</v>
      </c>
      <c r="O7" s="29"/>
      <c r="P7" s="25"/>
      <c r="Q7" s="485"/>
      <c r="R7" s="600" t="s">
        <v>1086</v>
      </c>
      <c r="S7" s="634">
        <f t="shared" si="7"/>
        <v>1.4</v>
      </c>
      <c r="T7" s="16">
        <f t="shared" si="0"/>
        <v>22.4</v>
      </c>
      <c r="U7" s="16">
        <f t="shared" si="1"/>
        <v>22.4</v>
      </c>
      <c r="V7" s="16">
        <f t="shared" si="2"/>
        <v>30.85</v>
      </c>
      <c r="W7" s="16">
        <f t="shared" si="3"/>
        <v>22.4</v>
      </c>
      <c r="X7" s="16">
        <f t="shared" si="4"/>
        <v>30.85</v>
      </c>
      <c r="Y7" s="15">
        <f t="shared" si="8"/>
        <v>1</v>
      </c>
      <c r="Z7" s="15">
        <f t="shared" si="5"/>
        <v>1</v>
      </c>
      <c r="AA7" s="10">
        <f t="shared" si="9"/>
        <v>403.2</v>
      </c>
      <c r="AB7" s="10">
        <f t="shared" si="10"/>
        <v>1419.1000000000001</v>
      </c>
      <c r="AC7" s="18">
        <f t="shared" si="11"/>
        <v>2397.8474999999999</v>
      </c>
      <c r="AD7" s="626" t="s">
        <v>1225</v>
      </c>
      <c r="AE7" s="11">
        <v>4</v>
      </c>
      <c r="AF7" s="11">
        <v>27</v>
      </c>
      <c r="AG7" s="12">
        <v>0</v>
      </c>
      <c r="AH7" s="12">
        <v>1.06</v>
      </c>
      <c r="AI7" s="12">
        <v>0.83</v>
      </c>
      <c r="AJ7" s="12">
        <v>1.89</v>
      </c>
      <c r="AK7" s="625">
        <v>10.1</v>
      </c>
    </row>
    <row r="8" spans="2:37" ht="15" customHeight="1">
      <c r="B8" s="424" t="s">
        <v>1244</v>
      </c>
      <c r="C8" s="585" t="s">
        <v>2799</v>
      </c>
      <c r="D8" s="586" t="s">
        <v>1252</v>
      </c>
      <c r="E8" s="659">
        <f>IF(C8="","",VLOOKUP(C8,Glass!$B$5:$C$12,2,FALSE)*'J1 Form'!$K$4)</f>
        <v>45.029999999999994</v>
      </c>
      <c r="F8" s="16">
        <f>IF(C8="","",VLOOKUP('Glass Sched'!C8,Glass!$B$5:$H$12,MATCH('Glass Sched'!D8,Glass!$D$3:$H$3,0)+2,FALSE))</f>
        <v>46</v>
      </c>
      <c r="G8" s="16">
        <f>IF(C8="","",VLOOKUP('Glass Sched'!C8,Glass!$B$5:$H$12,3,FALSE))</f>
        <v>18</v>
      </c>
      <c r="H8" s="16">
        <f t="shared" si="6"/>
        <v>46</v>
      </c>
      <c r="I8" s="582">
        <v>1</v>
      </c>
      <c r="J8" s="582">
        <v>53.25</v>
      </c>
      <c r="K8" s="582">
        <v>0</v>
      </c>
      <c r="L8" s="582">
        <v>0</v>
      </c>
      <c r="M8" s="587" t="s">
        <v>1303</v>
      </c>
      <c r="N8" s="588" t="s">
        <v>1303</v>
      </c>
      <c r="O8" s="29"/>
      <c r="P8" s="25"/>
      <c r="Q8" s="485"/>
      <c r="R8" s="600"/>
      <c r="S8" s="634">
        <f t="shared" si="7"/>
        <v>1.4</v>
      </c>
      <c r="T8" s="16">
        <f t="shared" si="0"/>
        <v>0</v>
      </c>
      <c r="U8" s="16">
        <f t="shared" si="1"/>
        <v>0</v>
      </c>
      <c r="V8" s="16">
        <f>IF(J8-U8&lt;0,0,J8-U8)</f>
        <v>53.25</v>
      </c>
      <c r="W8" s="16">
        <f t="shared" si="3"/>
        <v>0</v>
      </c>
      <c r="X8" s="16">
        <f t="shared" si="4"/>
        <v>53.25</v>
      </c>
      <c r="Y8" s="15">
        <f t="shared" si="8"/>
        <v>1</v>
      </c>
      <c r="Z8" s="15">
        <f t="shared" si="5"/>
        <v>1</v>
      </c>
      <c r="AA8" s="10">
        <f t="shared" si="9"/>
        <v>0</v>
      </c>
      <c r="AB8" s="10">
        <f t="shared" si="10"/>
        <v>2449.5</v>
      </c>
      <c r="AC8" s="18">
        <f t="shared" si="11"/>
        <v>2397.8474999999999</v>
      </c>
      <c r="AD8" s="626" t="s">
        <v>1252</v>
      </c>
      <c r="AE8" s="11">
        <v>5</v>
      </c>
      <c r="AF8" s="11">
        <v>28</v>
      </c>
      <c r="AG8" s="12">
        <v>0</v>
      </c>
      <c r="AH8" s="12">
        <v>1.1399999999999999</v>
      </c>
      <c r="AI8" s="12">
        <v>0.83</v>
      </c>
      <c r="AJ8" s="12">
        <v>1.63</v>
      </c>
      <c r="AK8" s="625">
        <v>5.4</v>
      </c>
    </row>
    <row r="9" spans="2:37" ht="15" customHeight="1">
      <c r="B9" s="424" t="s">
        <v>1245</v>
      </c>
      <c r="C9" s="585" t="s">
        <v>2799</v>
      </c>
      <c r="D9" s="586" t="s">
        <v>1254</v>
      </c>
      <c r="E9" s="659">
        <f>IF(C9="","",VLOOKUP(C9,Glass!$B$5:$C$12,2,FALSE)*'J1 Form'!$K$4)</f>
        <v>45.029999999999994</v>
      </c>
      <c r="F9" s="16">
        <f>IF(C9="","",VLOOKUP('Glass Sched'!C9,Glass!$B$5:$H$12,MATCH('Glass Sched'!D9,Glass!$D$3:$H$3,0)+2,FALSE))</f>
        <v>57</v>
      </c>
      <c r="G9" s="16">
        <f>IF(C9="","",VLOOKUP('Glass Sched'!C9,Glass!$B$5:$H$12,3,FALSE))</f>
        <v>18</v>
      </c>
      <c r="H9" s="16">
        <f t="shared" si="6"/>
        <v>18</v>
      </c>
      <c r="I9" s="582">
        <v>1</v>
      </c>
      <c r="J9" s="582">
        <v>53.25</v>
      </c>
      <c r="K9" s="582">
        <v>96</v>
      </c>
      <c r="L9" s="582">
        <v>0</v>
      </c>
      <c r="M9" s="587" t="s">
        <v>1303</v>
      </c>
      <c r="N9" s="588" t="s">
        <v>1303</v>
      </c>
      <c r="O9" s="29"/>
      <c r="P9" s="25"/>
      <c r="Q9" s="485"/>
      <c r="R9" s="600"/>
      <c r="S9" s="634">
        <f t="shared" si="7"/>
        <v>1.1299999999999999</v>
      </c>
      <c r="T9" s="16">
        <f t="shared" si="0"/>
        <v>108.47999999999999</v>
      </c>
      <c r="U9" s="16">
        <f t="shared" si="1"/>
        <v>108.47999999999999</v>
      </c>
      <c r="V9" s="16">
        <f>IF(J9-U9&lt;0,0,J9-U9)</f>
        <v>0</v>
      </c>
      <c r="W9" s="16">
        <f t="shared" si="3"/>
        <v>53.25</v>
      </c>
      <c r="X9" s="16">
        <f t="shared" si="4"/>
        <v>0</v>
      </c>
      <c r="Y9" s="15">
        <f t="shared" si="8"/>
        <v>1</v>
      </c>
      <c r="Z9" s="15">
        <f t="shared" si="5"/>
        <v>1</v>
      </c>
      <c r="AA9" s="10">
        <f t="shared" si="9"/>
        <v>958.5</v>
      </c>
      <c r="AB9" s="10">
        <f t="shared" si="10"/>
        <v>0</v>
      </c>
      <c r="AC9" s="18">
        <f t="shared" si="11"/>
        <v>2397.8474999999999</v>
      </c>
      <c r="AD9" s="626" t="s">
        <v>1201</v>
      </c>
      <c r="AE9" s="11">
        <v>3</v>
      </c>
      <c r="AF9" s="11">
        <v>29</v>
      </c>
      <c r="AG9" s="12">
        <v>0</v>
      </c>
      <c r="AH9" s="12">
        <v>1.1399999999999999</v>
      </c>
      <c r="AI9" s="12">
        <v>0.83</v>
      </c>
      <c r="AJ9" s="12">
        <v>1.63</v>
      </c>
      <c r="AK9" s="625">
        <v>5.4</v>
      </c>
    </row>
    <row r="10" spans="2:37" ht="15" customHeight="1">
      <c r="B10" s="424" t="s">
        <v>1246</v>
      </c>
      <c r="C10" s="585" t="s">
        <v>2799</v>
      </c>
      <c r="D10" s="586" t="s">
        <v>1252</v>
      </c>
      <c r="E10" s="659">
        <f>IF(C10="","",VLOOKUP(C10,Glass!$B$5:$C$12,2,FALSE)*'J1 Form'!$K$4)</f>
        <v>45.029999999999994</v>
      </c>
      <c r="F10" s="16">
        <f>IF(C10="","",VLOOKUP('Glass Sched'!C10,Glass!$B$5:$H$12,MATCH('Glass Sched'!D10,Glass!$D$3:$H$3,0)+2,FALSE))</f>
        <v>46</v>
      </c>
      <c r="G10" s="16">
        <f>IF(C10="","",VLOOKUP('Glass Sched'!C10,Glass!$B$5:$H$12,3,FALSE))</f>
        <v>18</v>
      </c>
      <c r="H10" s="16">
        <f t="shared" si="6"/>
        <v>29.162416107382548</v>
      </c>
      <c r="I10" s="582">
        <v>1</v>
      </c>
      <c r="J10" s="582">
        <v>37.25</v>
      </c>
      <c r="K10" s="582">
        <v>16</v>
      </c>
      <c r="L10" s="582">
        <v>0</v>
      </c>
      <c r="M10" s="587" t="s">
        <v>1303</v>
      </c>
      <c r="N10" s="588" t="s">
        <v>1303</v>
      </c>
      <c r="O10" s="29"/>
      <c r="P10" s="25"/>
      <c r="Q10" s="485"/>
      <c r="R10" s="600"/>
      <c r="S10" s="634">
        <f t="shared" si="7"/>
        <v>1.4</v>
      </c>
      <c r="T10" s="16">
        <f t="shared" si="0"/>
        <v>22.4</v>
      </c>
      <c r="U10" s="16">
        <f t="shared" si="1"/>
        <v>22.4</v>
      </c>
      <c r="V10" s="16">
        <f t="shared" si="2"/>
        <v>14.850000000000001</v>
      </c>
      <c r="W10" s="16">
        <f t="shared" si="3"/>
        <v>22.4</v>
      </c>
      <c r="X10" s="16">
        <f t="shared" si="4"/>
        <v>14.850000000000001</v>
      </c>
      <c r="Y10" s="15">
        <f t="shared" si="8"/>
        <v>1</v>
      </c>
      <c r="Z10" s="15">
        <f t="shared" si="5"/>
        <v>1</v>
      </c>
      <c r="AA10" s="10">
        <f t="shared" si="9"/>
        <v>403.2</v>
      </c>
      <c r="AB10" s="10">
        <f t="shared" si="10"/>
        <v>683.1</v>
      </c>
      <c r="AC10" s="18">
        <f t="shared" si="11"/>
        <v>1677.3674999999998</v>
      </c>
      <c r="AD10" s="626" t="s">
        <v>1254</v>
      </c>
      <c r="AE10" s="11">
        <v>2</v>
      </c>
      <c r="AF10" s="11">
        <v>30</v>
      </c>
      <c r="AG10" s="12">
        <v>0</v>
      </c>
      <c r="AH10" s="12">
        <v>1.1399999999999999</v>
      </c>
      <c r="AI10" s="12">
        <v>0.83</v>
      </c>
      <c r="AJ10" s="12">
        <v>1.63</v>
      </c>
      <c r="AK10" s="625">
        <v>5.4</v>
      </c>
    </row>
    <row r="11" spans="2:37" ht="15" customHeight="1">
      <c r="B11" s="424" t="s">
        <v>1247</v>
      </c>
      <c r="C11" s="585"/>
      <c r="D11" s="586"/>
      <c r="E11" s="659" t="str">
        <f>IF(C11="","",VLOOKUP(C11,Glass!$B$5:$C$12,2,FALSE)*'J1 Form'!$K$4)</f>
        <v/>
      </c>
      <c r="F11" s="16" t="str">
        <f>IF(C11="","",VLOOKUP('Glass Sched'!C11,Glass!$B$5:$H$12,MATCH('Glass Sched'!D11,Glass!$D$3:$H$3,0)+2,FALSE))</f>
        <v/>
      </c>
      <c r="G11" s="16" t="str">
        <f>IF(C11="","",VLOOKUP('Glass Sched'!C11,Glass!$B$5:$H$12,3,FALSE))</f>
        <v/>
      </c>
      <c r="H11" s="16" t="str">
        <f t="shared" si="6"/>
        <v/>
      </c>
      <c r="I11" s="582">
        <v>1</v>
      </c>
      <c r="J11" s="582"/>
      <c r="K11" s="582"/>
      <c r="L11" s="582"/>
      <c r="M11" s="587" t="s">
        <v>1303</v>
      </c>
      <c r="N11" s="588" t="s">
        <v>1303</v>
      </c>
      <c r="O11" s="29"/>
      <c r="P11" s="25"/>
      <c r="Q11" s="485"/>
      <c r="R11" s="600"/>
      <c r="S11" s="634" t="e">
        <f t="shared" si="7"/>
        <v>#N/A</v>
      </c>
      <c r="T11" s="16" t="e">
        <f t="shared" si="0"/>
        <v>#N/A</v>
      </c>
      <c r="U11" s="16" t="e">
        <f t="shared" si="1"/>
        <v>#N/A</v>
      </c>
      <c r="V11" s="16" t="e">
        <f t="shared" si="2"/>
        <v>#N/A</v>
      </c>
      <c r="W11" s="16" t="e">
        <f t="shared" si="3"/>
        <v>#N/A</v>
      </c>
      <c r="X11" s="16" t="e">
        <f t="shared" si="4"/>
        <v>#N/A</v>
      </c>
      <c r="Y11" s="15">
        <f t="shared" si="8"/>
        <v>1</v>
      </c>
      <c r="Z11" s="15">
        <f t="shared" si="5"/>
        <v>1</v>
      </c>
      <c r="AA11" s="10" t="e">
        <f t="shared" si="9"/>
        <v>#N/A</v>
      </c>
      <c r="AB11" s="10" t="e">
        <f t="shared" si="10"/>
        <v>#N/A</v>
      </c>
      <c r="AC11" s="18" t="e">
        <f t="shared" si="11"/>
        <v>#VALUE!</v>
      </c>
      <c r="AD11" s="624"/>
      <c r="AE11" s="9"/>
      <c r="AF11" s="11">
        <v>31</v>
      </c>
      <c r="AG11" s="12">
        <v>0</v>
      </c>
      <c r="AH11" s="12">
        <v>1.1399999999999999</v>
      </c>
      <c r="AI11" s="12">
        <v>0.83</v>
      </c>
      <c r="AJ11" s="12">
        <v>1.63</v>
      </c>
      <c r="AK11" s="625">
        <v>5.4</v>
      </c>
    </row>
    <row r="12" spans="2:37" ht="15" customHeight="1">
      <c r="B12" s="424" t="s">
        <v>1248</v>
      </c>
      <c r="C12" s="585"/>
      <c r="D12" s="586"/>
      <c r="E12" s="659" t="str">
        <f>IF(C12="","",VLOOKUP(C12,Glass!$B$5:$C$12,2,FALSE)*'J1 Form'!$K$4)</f>
        <v/>
      </c>
      <c r="F12" s="16" t="str">
        <f>IF(C12="","",VLOOKUP('Glass Sched'!C12,Glass!$B$5:$H$12,MATCH('Glass Sched'!D12,Glass!$D$3:$H$3,0)+2,FALSE))</f>
        <v/>
      </c>
      <c r="G12" s="16" t="str">
        <f>IF(C12="","",VLOOKUP('Glass Sched'!C12,Glass!$B$5:$H$12,3,FALSE))</f>
        <v/>
      </c>
      <c r="H12" s="16" t="str">
        <f t="shared" si="6"/>
        <v/>
      </c>
      <c r="I12" s="582">
        <v>1</v>
      </c>
      <c r="J12" s="582"/>
      <c r="K12" s="582"/>
      <c r="L12" s="582"/>
      <c r="M12" s="587" t="s">
        <v>1303</v>
      </c>
      <c r="N12" s="588" t="s">
        <v>1303</v>
      </c>
      <c r="O12" s="29"/>
      <c r="P12" s="25"/>
      <c r="Q12" s="485"/>
      <c r="R12" s="600"/>
      <c r="S12" s="634" t="e">
        <f t="shared" si="7"/>
        <v>#N/A</v>
      </c>
      <c r="T12" s="16" t="e">
        <f t="shared" si="0"/>
        <v>#N/A</v>
      </c>
      <c r="U12" s="16" t="e">
        <f t="shared" si="1"/>
        <v>#N/A</v>
      </c>
      <c r="V12" s="16" t="e">
        <f t="shared" si="2"/>
        <v>#N/A</v>
      </c>
      <c r="W12" s="16" t="e">
        <f t="shared" si="3"/>
        <v>#N/A</v>
      </c>
      <c r="X12" s="16" t="e">
        <f t="shared" si="4"/>
        <v>#N/A</v>
      </c>
      <c r="Y12" s="15">
        <f t="shared" si="8"/>
        <v>1</v>
      </c>
      <c r="Z12" s="15">
        <f t="shared" si="5"/>
        <v>1</v>
      </c>
      <c r="AA12" s="10" t="e">
        <f t="shared" si="9"/>
        <v>#N/A</v>
      </c>
      <c r="AB12" s="10" t="e">
        <f t="shared" si="10"/>
        <v>#N/A</v>
      </c>
      <c r="AC12" s="18" t="e">
        <f t="shared" si="11"/>
        <v>#VALUE!</v>
      </c>
      <c r="AD12" s="626" t="s">
        <v>1303</v>
      </c>
      <c r="AE12" s="11">
        <v>1</v>
      </c>
      <c r="AF12" s="11">
        <v>32</v>
      </c>
      <c r="AG12" s="12">
        <v>0</v>
      </c>
      <c r="AH12" s="12">
        <v>1.1399999999999999</v>
      </c>
      <c r="AI12" s="12">
        <v>0.83</v>
      </c>
      <c r="AJ12" s="12">
        <v>1.63</v>
      </c>
      <c r="AK12" s="625">
        <v>5.4</v>
      </c>
    </row>
    <row r="13" spans="2:37" ht="15" customHeight="1">
      <c r="B13" s="424" t="s">
        <v>1249</v>
      </c>
      <c r="C13" s="585"/>
      <c r="D13" s="586"/>
      <c r="E13" s="659" t="str">
        <f>IF(C13="","",VLOOKUP(C13,Glass!$B$5:$C$12,2,FALSE)*'J1 Form'!$K$4)</f>
        <v/>
      </c>
      <c r="F13" s="16" t="str">
        <f>IF(C13="","",VLOOKUP('Glass Sched'!C13,Glass!$B$5:$H$12,MATCH('Glass Sched'!D13,Glass!$D$3:$H$3,0)+2,FALSE))</f>
        <v/>
      </c>
      <c r="G13" s="16" t="str">
        <f>IF(C13="","",VLOOKUP('Glass Sched'!C13,Glass!$B$5:$H$12,3,FALSE))</f>
        <v/>
      </c>
      <c r="H13" s="16" t="str">
        <f t="shared" si="6"/>
        <v/>
      </c>
      <c r="I13" s="582">
        <v>1</v>
      </c>
      <c r="J13" s="582"/>
      <c r="K13" s="582"/>
      <c r="L13" s="582"/>
      <c r="M13" s="587" t="s">
        <v>1303</v>
      </c>
      <c r="N13" s="588" t="s">
        <v>1303</v>
      </c>
      <c r="O13" s="29"/>
      <c r="P13" s="25"/>
      <c r="Q13" s="486"/>
      <c r="R13" s="30"/>
      <c r="S13" s="634" t="e">
        <f t="shared" si="7"/>
        <v>#N/A</v>
      </c>
      <c r="T13" s="16" t="e">
        <f t="shared" si="0"/>
        <v>#N/A</v>
      </c>
      <c r="U13" s="16" t="e">
        <f t="shared" si="1"/>
        <v>#N/A</v>
      </c>
      <c r="V13" s="16" t="e">
        <f t="shared" si="2"/>
        <v>#N/A</v>
      </c>
      <c r="W13" s="16" t="e">
        <f t="shared" si="3"/>
        <v>#N/A</v>
      </c>
      <c r="X13" s="16" t="e">
        <f t="shared" si="4"/>
        <v>#N/A</v>
      </c>
      <c r="Y13" s="15">
        <f t="shared" si="8"/>
        <v>1</v>
      </c>
      <c r="Z13" s="15">
        <f t="shared" si="5"/>
        <v>1</v>
      </c>
      <c r="AA13" s="10" t="e">
        <f t="shared" si="9"/>
        <v>#N/A</v>
      </c>
      <c r="AB13" s="10" t="e">
        <f t="shared" si="10"/>
        <v>#N/A</v>
      </c>
      <c r="AC13" s="18" t="e">
        <f t="shared" si="11"/>
        <v>#VALUE!</v>
      </c>
      <c r="AD13" s="626" t="s">
        <v>1304</v>
      </c>
      <c r="AE13" s="11">
        <v>0.9</v>
      </c>
      <c r="AF13" s="11">
        <v>33</v>
      </c>
      <c r="AG13" s="12">
        <v>0</v>
      </c>
      <c r="AH13" s="12">
        <v>1.22</v>
      </c>
      <c r="AI13" s="12">
        <v>0.81</v>
      </c>
      <c r="AJ13" s="12">
        <v>1.1299999999999999</v>
      </c>
      <c r="AK13" s="625">
        <v>3.53</v>
      </c>
    </row>
    <row r="14" spans="2:37" ht="15" customHeight="1">
      <c r="B14" s="424" t="s">
        <v>1250</v>
      </c>
      <c r="C14" s="585"/>
      <c r="D14" s="586"/>
      <c r="E14" s="659" t="str">
        <f>IF(C14="","",VLOOKUP(C14,Glass!$B$5:$C$12,2,FALSE)*'J1 Form'!$K$4)</f>
        <v/>
      </c>
      <c r="F14" s="16" t="str">
        <f>IF(C14="","",VLOOKUP('Glass Sched'!C14,Glass!$B$5:$H$12,MATCH('Glass Sched'!D14,Glass!$D$3:$H$3,0)+2,FALSE))</f>
        <v/>
      </c>
      <c r="G14" s="16" t="str">
        <f>IF(C14="","",VLOOKUP('Glass Sched'!C14,Glass!$B$5:$H$12,3,FALSE))</f>
        <v/>
      </c>
      <c r="H14" s="16" t="str">
        <f t="shared" si="6"/>
        <v/>
      </c>
      <c r="I14" s="582">
        <v>1</v>
      </c>
      <c r="J14" s="582"/>
      <c r="K14" s="582"/>
      <c r="L14" s="582"/>
      <c r="M14" s="587" t="s">
        <v>1303</v>
      </c>
      <c r="N14" s="588" t="s">
        <v>1303</v>
      </c>
      <c r="O14" s="29"/>
      <c r="P14" s="25"/>
      <c r="Q14" s="486"/>
      <c r="R14" s="30"/>
      <c r="S14" s="634" t="e">
        <f t="shared" si="7"/>
        <v>#N/A</v>
      </c>
      <c r="T14" s="16" t="e">
        <f t="shared" si="0"/>
        <v>#N/A</v>
      </c>
      <c r="U14" s="16" t="e">
        <f t="shared" si="1"/>
        <v>#N/A</v>
      </c>
      <c r="V14" s="16" t="e">
        <f t="shared" si="2"/>
        <v>#N/A</v>
      </c>
      <c r="W14" s="16" t="e">
        <f t="shared" si="3"/>
        <v>#N/A</v>
      </c>
      <c r="X14" s="16" t="e">
        <f t="shared" si="4"/>
        <v>#N/A</v>
      </c>
      <c r="Y14" s="15">
        <f t="shared" si="8"/>
        <v>1</v>
      </c>
      <c r="Z14" s="15">
        <f t="shared" si="5"/>
        <v>1</v>
      </c>
      <c r="AA14" s="10" t="e">
        <f t="shared" si="9"/>
        <v>#N/A</v>
      </c>
      <c r="AB14" s="10" t="e">
        <f t="shared" si="10"/>
        <v>#N/A</v>
      </c>
      <c r="AC14" s="18" t="e">
        <f t="shared" si="11"/>
        <v>#VALUE!</v>
      </c>
      <c r="AD14" s="624"/>
      <c r="AE14" s="9"/>
      <c r="AF14" s="11">
        <v>34</v>
      </c>
      <c r="AG14" s="12">
        <v>0</v>
      </c>
      <c r="AH14" s="12">
        <v>1.22</v>
      </c>
      <c r="AI14" s="12">
        <v>0.81</v>
      </c>
      <c r="AJ14" s="12">
        <v>1.1299999999999999</v>
      </c>
      <c r="AK14" s="625">
        <v>3.53</v>
      </c>
    </row>
    <row r="15" spans="2:37" ht="15" customHeight="1" thickBot="1">
      <c r="B15" s="425" t="s">
        <v>1251</v>
      </c>
      <c r="C15" s="589"/>
      <c r="D15" s="682"/>
      <c r="E15" s="660" t="str">
        <f>IF(C15="","",VLOOKUP(C15,Glass!$B$5:$C$12,2,FALSE)*'J1 Form'!$K$4)</f>
        <v/>
      </c>
      <c r="F15" s="19" t="str">
        <f>IF(C15="","",VLOOKUP('Glass Sched'!C15,Glass!$B$5:$H$12,MATCH('Glass Sched'!D15,Glass!$D$3:$H$3,0)+2,FALSE))</f>
        <v/>
      </c>
      <c r="G15" s="19" t="str">
        <f>IF(C15="","",VLOOKUP('Glass Sched'!C15,Glass!$B$5:$H$12,3,FALSE))</f>
        <v/>
      </c>
      <c r="H15" s="19" t="str">
        <f t="shared" si="6"/>
        <v/>
      </c>
      <c r="I15" s="683">
        <v>1</v>
      </c>
      <c r="J15" s="683"/>
      <c r="K15" s="683"/>
      <c r="L15" s="683"/>
      <c r="M15" s="590" t="s">
        <v>1303</v>
      </c>
      <c r="N15" s="591" t="s">
        <v>1303</v>
      </c>
      <c r="O15" s="605"/>
      <c r="P15" s="606"/>
      <c r="Q15" s="606"/>
      <c r="R15" s="607"/>
      <c r="S15" s="634" t="e">
        <f t="shared" si="7"/>
        <v>#N/A</v>
      </c>
      <c r="T15" s="19" t="e">
        <f t="shared" si="0"/>
        <v>#N/A</v>
      </c>
      <c r="U15" s="19" t="e">
        <f t="shared" si="1"/>
        <v>#N/A</v>
      </c>
      <c r="V15" s="19" t="e">
        <f t="shared" si="2"/>
        <v>#N/A</v>
      </c>
      <c r="W15" s="19" t="e">
        <f t="shared" si="3"/>
        <v>#N/A</v>
      </c>
      <c r="X15" s="19" t="e">
        <f t="shared" si="4"/>
        <v>#N/A</v>
      </c>
      <c r="Y15" s="20">
        <f t="shared" si="8"/>
        <v>1</v>
      </c>
      <c r="Z15" s="20">
        <f t="shared" si="5"/>
        <v>1</v>
      </c>
      <c r="AA15" s="635" t="e">
        <f t="shared" si="9"/>
        <v>#N/A</v>
      </c>
      <c r="AB15" s="635" t="e">
        <f t="shared" si="10"/>
        <v>#N/A</v>
      </c>
      <c r="AC15" s="636" t="e">
        <f t="shared" si="11"/>
        <v>#VALUE!</v>
      </c>
      <c r="AD15" s="626" t="s">
        <v>1303</v>
      </c>
      <c r="AE15" s="11">
        <v>1</v>
      </c>
      <c r="AF15" s="11">
        <v>35</v>
      </c>
      <c r="AG15" s="12">
        <v>0</v>
      </c>
      <c r="AH15" s="12">
        <v>1.22</v>
      </c>
      <c r="AI15" s="12">
        <v>0.81</v>
      </c>
      <c r="AJ15" s="12">
        <v>1.1299999999999999</v>
      </c>
      <c r="AK15" s="625">
        <v>3.53</v>
      </c>
    </row>
    <row r="16" spans="2:37" ht="9.9499999999999993" customHeight="1" thickBot="1">
      <c r="U16" s="5"/>
      <c r="V16" s="5"/>
      <c r="W16" s="5"/>
      <c r="AC16" s="5"/>
      <c r="AD16" s="626" t="s">
        <v>1305</v>
      </c>
      <c r="AE16" s="11">
        <v>1.1499999999999999</v>
      </c>
      <c r="AF16" s="11">
        <v>36</v>
      </c>
      <c r="AG16" s="12">
        <v>0</v>
      </c>
      <c r="AH16" s="12">
        <v>1.22</v>
      </c>
      <c r="AI16" s="12">
        <v>0.81</v>
      </c>
      <c r="AJ16" s="12">
        <v>1.1299999999999999</v>
      </c>
      <c r="AK16" s="625">
        <v>3.53</v>
      </c>
    </row>
    <row r="17" spans="2:37" ht="15" customHeight="1" thickBot="1">
      <c r="B17" s="426" t="s">
        <v>2235</v>
      </c>
      <c r="C17" s="426"/>
      <c r="D17" s="32"/>
      <c r="E17" s="31"/>
      <c r="F17" s="32"/>
      <c r="T17" s="5"/>
      <c r="U17" s="5"/>
      <c r="AD17" s="626" t="s">
        <v>1306</v>
      </c>
      <c r="AE17" s="11">
        <v>2</v>
      </c>
      <c r="AF17" s="11">
        <v>37</v>
      </c>
      <c r="AG17" s="12">
        <v>0</v>
      </c>
      <c r="AH17" s="12">
        <v>1.22</v>
      </c>
      <c r="AI17" s="12">
        <v>0.81</v>
      </c>
      <c r="AJ17" s="12">
        <v>1.1299999999999999</v>
      </c>
      <c r="AK17" s="625">
        <v>3.53</v>
      </c>
    </row>
    <row r="18" spans="2:37" ht="36">
      <c r="B18" s="423" t="s">
        <v>1356</v>
      </c>
      <c r="C18" s="17" t="s">
        <v>1059</v>
      </c>
      <c r="D18" s="24" t="s">
        <v>1375</v>
      </c>
      <c r="E18" s="609" t="s">
        <v>1374</v>
      </c>
      <c r="F18" s="612" t="s">
        <v>2189</v>
      </c>
      <c r="AD18" s="626" t="s">
        <v>1307</v>
      </c>
      <c r="AE18" s="11">
        <v>0.7</v>
      </c>
      <c r="AF18" s="11">
        <v>38</v>
      </c>
      <c r="AG18" s="12">
        <v>0</v>
      </c>
      <c r="AH18" s="12">
        <v>1.31</v>
      </c>
      <c r="AI18" s="12">
        <v>0.81</v>
      </c>
      <c r="AJ18" s="12">
        <v>1.1299999999999999</v>
      </c>
      <c r="AK18" s="625">
        <v>2.6</v>
      </c>
    </row>
    <row r="19" spans="2:37" ht="15" customHeight="1">
      <c r="B19" s="427" t="s">
        <v>1240</v>
      </c>
      <c r="C19" s="592" t="s">
        <v>2797</v>
      </c>
      <c r="D19" s="593" t="s">
        <v>1252</v>
      </c>
      <c r="E19" s="610">
        <f>IF(C19="","",VLOOKUP(C19,Glass!$B$16:$C$20,2)*'J1 Form'!$K$4)</f>
        <v>89.27</v>
      </c>
      <c r="F19" s="613">
        <f>IF(C19="","",VLOOKUP(C19,Glass!$B$16:$H$20,MATCH(D19,Glass!$D$14:$H$14,0)+2))</f>
        <v>140</v>
      </c>
      <c r="AD19" s="627"/>
      <c r="AF19" s="11">
        <v>39</v>
      </c>
      <c r="AG19" s="12">
        <v>0</v>
      </c>
      <c r="AH19" s="12">
        <v>1.31</v>
      </c>
      <c r="AI19" s="12">
        <v>0.81</v>
      </c>
      <c r="AJ19" s="12">
        <v>1.1299999999999999</v>
      </c>
      <c r="AK19" s="625">
        <v>2.6</v>
      </c>
    </row>
    <row r="20" spans="2:37" ht="15" customHeight="1">
      <c r="B20" s="424" t="s">
        <v>1241</v>
      </c>
      <c r="C20" s="594"/>
      <c r="D20" s="595"/>
      <c r="E20" s="610" t="str">
        <f>IF(C20="","",VLOOKUP(C20,Glass!$B$16:$C$20,2)*'J1 Form'!$K$4)</f>
        <v/>
      </c>
      <c r="F20" s="613" t="str">
        <f>IF(C20="","",VLOOKUP(C20,Glass!$B$16:$H$20,MATCH(D20,Glass!$D$14:$H$14,0)+2))</f>
        <v/>
      </c>
      <c r="AD20" s="626"/>
      <c r="AF20" s="11">
        <v>40</v>
      </c>
      <c r="AG20" s="12">
        <v>0</v>
      </c>
      <c r="AH20" s="12">
        <v>1.31</v>
      </c>
      <c r="AI20" s="12">
        <v>0.81</v>
      </c>
      <c r="AJ20" s="12">
        <v>1.1299999999999999</v>
      </c>
      <c r="AK20" s="625">
        <v>2.6</v>
      </c>
    </row>
    <row r="21" spans="2:37" ht="15" customHeight="1">
      <c r="B21" s="424" t="s">
        <v>1242</v>
      </c>
      <c r="C21" s="594"/>
      <c r="D21" s="595"/>
      <c r="E21" s="610" t="str">
        <f>IF(C21="","",VLOOKUP(C21,Glass!$B$16:$C$20,2)*'J1 Form'!$K$4)</f>
        <v/>
      </c>
      <c r="F21" s="613" t="str">
        <f>IF(C21="","",VLOOKUP(C21,Glass!$B$16:$H$20,MATCH(D21,Glass!$D$14:$H$14,0)+2))</f>
        <v/>
      </c>
      <c r="AD21" s="628" t="s">
        <v>1225</v>
      </c>
      <c r="AF21" s="11">
        <v>41</v>
      </c>
      <c r="AG21" s="12">
        <v>0</v>
      </c>
      <c r="AH21" s="12">
        <v>1.31</v>
      </c>
      <c r="AI21" s="12">
        <v>0.81</v>
      </c>
      <c r="AJ21" s="12">
        <v>1.1299999999999999</v>
      </c>
      <c r="AK21" s="625">
        <v>2.6</v>
      </c>
    </row>
    <row r="22" spans="2:37" ht="15" customHeight="1" thickBot="1">
      <c r="B22" s="425" t="s">
        <v>1243</v>
      </c>
      <c r="C22" s="596"/>
      <c r="D22" s="597"/>
      <c r="E22" s="611" t="str">
        <f>IF(C22="","",VLOOKUP(C22,Glass!$B$16:$C$20,2)*'J1 Form'!$K$4)</f>
        <v/>
      </c>
      <c r="F22" s="614" t="str">
        <f>IF(C22="","",VLOOKUP(C22,Glass!$B$16:$H$20,MATCH(D22,Glass!$D$14:$H$14,0)+2))</f>
        <v/>
      </c>
      <c r="AC22" s="7"/>
      <c r="AD22" s="628" t="s">
        <v>1252</v>
      </c>
      <c r="AE22" s="7"/>
      <c r="AF22" s="11">
        <v>42</v>
      </c>
      <c r="AG22" s="12">
        <v>0</v>
      </c>
      <c r="AH22" s="12">
        <v>1.31</v>
      </c>
      <c r="AI22" s="12">
        <v>0.81</v>
      </c>
      <c r="AJ22" s="12">
        <v>1.1299999999999999</v>
      </c>
      <c r="AK22" s="625">
        <v>2.6</v>
      </c>
    </row>
    <row r="23" spans="2:37" ht="9.9499999999999993" customHeight="1" thickBot="1">
      <c r="D23" s="6"/>
      <c r="AC23" s="7"/>
      <c r="AD23" s="628" t="s">
        <v>1253</v>
      </c>
      <c r="AF23" s="11">
        <v>43</v>
      </c>
      <c r="AG23" s="12">
        <v>0</v>
      </c>
      <c r="AH23" s="12">
        <v>1.4</v>
      </c>
      <c r="AI23" s="12">
        <v>0.8</v>
      </c>
      <c r="AJ23" s="12">
        <v>1.1299999999999999</v>
      </c>
      <c r="AK23" s="625">
        <v>2.0499999999999998</v>
      </c>
    </row>
    <row r="24" spans="2:37" ht="15" customHeight="1">
      <c r="B24" s="487" t="s">
        <v>1087</v>
      </c>
      <c r="C24" s="488"/>
      <c r="D24" s="488"/>
      <c r="E24" s="488"/>
      <c r="F24" s="602"/>
      <c r="G24" s="602"/>
      <c r="H24" s="602"/>
      <c r="I24" s="602"/>
      <c r="J24" s="602"/>
      <c r="K24" s="602"/>
      <c r="L24" s="602"/>
      <c r="M24" s="684"/>
      <c r="AC24" s="7"/>
      <c r="AD24" s="628" t="s">
        <v>1254</v>
      </c>
      <c r="AF24" s="11">
        <v>44</v>
      </c>
      <c r="AG24" s="12">
        <v>0</v>
      </c>
      <c r="AH24" s="12">
        <v>1.4</v>
      </c>
      <c r="AI24" s="12">
        <v>0.8</v>
      </c>
      <c r="AJ24" s="12">
        <v>1.1299999999999999</v>
      </c>
      <c r="AK24" s="625">
        <v>2.0499999999999998</v>
      </c>
    </row>
    <row r="25" spans="2:37" ht="15" customHeight="1">
      <c r="B25" s="489" t="s">
        <v>2732</v>
      </c>
      <c r="C25" s="490"/>
      <c r="D25" s="411"/>
      <c r="E25" s="411"/>
      <c r="F25" s="603"/>
      <c r="G25" s="603"/>
      <c r="H25" s="603"/>
      <c r="I25" s="603"/>
      <c r="J25" s="603"/>
      <c r="K25" s="603"/>
      <c r="L25" s="603"/>
      <c r="M25" s="685"/>
      <c r="AC25" s="7"/>
      <c r="AD25" s="628" t="s">
        <v>1201</v>
      </c>
      <c r="AF25" s="11">
        <v>45</v>
      </c>
      <c r="AG25" s="12">
        <v>0</v>
      </c>
      <c r="AH25" s="12">
        <v>1.4</v>
      </c>
      <c r="AI25" s="12">
        <v>0.8</v>
      </c>
      <c r="AJ25" s="12">
        <v>1.1299999999999999</v>
      </c>
      <c r="AK25" s="625">
        <v>2.0499999999999998</v>
      </c>
    </row>
    <row r="26" spans="2:37" ht="15" customHeight="1">
      <c r="B26" s="489" t="s">
        <v>2731</v>
      </c>
      <c r="C26" s="490"/>
      <c r="D26" s="411"/>
      <c r="E26" s="411"/>
      <c r="F26" s="603"/>
      <c r="G26" s="603"/>
      <c r="H26" s="603"/>
      <c r="I26" s="603"/>
      <c r="J26" s="603"/>
      <c r="K26" s="603"/>
      <c r="L26" s="603"/>
      <c r="M26" s="685"/>
      <c r="AC26" s="7"/>
      <c r="AD26" s="629"/>
      <c r="AF26" s="11">
        <v>46</v>
      </c>
      <c r="AG26" s="12">
        <v>0</v>
      </c>
      <c r="AH26" s="12">
        <v>1.4</v>
      </c>
      <c r="AI26" s="12">
        <v>0.8</v>
      </c>
      <c r="AJ26" s="12">
        <v>1.1299999999999999</v>
      </c>
      <c r="AK26" s="625">
        <v>2.0499999999999998</v>
      </c>
    </row>
    <row r="27" spans="2:37" ht="15" customHeight="1">
      <c r="B27" s="489" t="s">
        <v>1088</v>
      </c>
      <c r="C27" s="411"/>
      <c r="D27" s="411"/>
      <c r="E27" s="411"/>
      <c r="F27" s="603"/>
      <c r="G27" s="603"/>
      <c r="H27" s="603"/>
      <c r="I27" s="603"/>
      <c r="J27" s="603"/>
      <c r="K27" s="603"/>
      <c r="L27" s="603"/>
      <c r="M27" s="685"/>
      <c r="AC27" s="7"/>
      <c r="AD27" s="627"/>
      <c r="AF27" s="11">
        <v>47</v>
      </c>
      <c r="AG27" s="12">
        <v>0</v>
      </c>
      <c r="AH27" s="12">
        <v>1.4</v>
      </c>
      <c r="AI27" s="12">
        <v>0.8</v>
      </c>
      <c r="AJ27" s="12">
        <v>1.1299999999999999</v>
      </c>
      <c r="AK27" s="625">
        <v>2.0499999999999998</v>
      </c>
    </row>
    <row r="28" spans="2:37" ht="15" customHeight="1">
      <c r="B28" s="489" t="s">
        <v>1089</v>
      </c>
      <c r="C28" s="444"/>
      <c r="D28" s="411"/>
      <c r="E28" s="411"/>
      <c r="F28" s="603"/>
      <c r="G28" s="603"/>
      <c r="H28" s="603"/>
      <c r="I28" s="603"/>
      <c r="J28" s="603"/>
      <c r="K28" s="603"/>
      <c r="L28" s="603"/>
      <c r="M28" s="685"/>
      <c r="AC28" s="7"/>
      <c r="AD28" s="627"/>
      <c r="AF28" s="11">
        <v>48</v>
      </c>
      <c r="AG28" s="12">
        <v>0</v>
      </c>
      <c r="AH28" s="12">
        <v>1.49</v>
      </c>
      <c r="AI28" s="12">
        <v>0.79</v>
      </c>
      <c r="AJ28" s="12">
        <v>1.01</v>
      </c>
      <c r="AK28" s="625">
        <v>1.7</v>
      </c>
    </row>
    <row r="29" spans="2:37" ht="15" customHeight="1">
      <c r="B29" s="491" t="s">
        <v>1090</v>
      </c>
      <c r="C29" s="411"/>
      <c r="D29" s="411"/>
      <c r="E29" s="411"/>
      <c r="F29" s="603"/>
      <c r="G29" s="603"/>
      <c r="H29" s="603"/>
      <c r="I29" s="603"/>
      <c r="J29" s="603"/>
      <c r="K29" s="603"/>
      <c r="L29" s="603"/>
      <c r="M29" s="685"/>
      <c r="AD29" s="627"/>
      <c r="AE29" s="235"/>
      <c r="AF29" s="11">
        <v>49</v>
      </c>
      <c r="AG29" s="12">
        <v>0</v>
      </c>
      <c r="AH29" s="12">
        <v>1.49</v>
      </c>
      <c r="AI29" s="12">
        <v>0.79</v>
      </c>
      <c r="AJ29" s="12">
        <v>1.01</v>
      </c>
      <c r="AK29" s="625">
        <v>1.7</v>
      </c>
    </row>
    <row r="30" spans="2:37" ht="15" customHeight="1" thickBot="1">
      <c r="B30" s="489" t="s">
        <v>2729</v>
      </c>
      <c r="C30" s="411"/>
      <c r="D30" s="492"/>
      <c r="E30" s="411"/>
      <c r="F30" s="603"/>
      <c r="G30" s="603"/>
      <c r="H30" s="603"/>
      <c r="I30" s="603"/>
      <c r="J30" s="603"/>
      <c r="K30" s="603"/>
      <c r="L30" s="603"/>
      <c r="M30" s="685"/>
      <c r="AD30" s="630"/>
      <c r="AE30" s="690"/>
      <c r="AF30" s="631">
        <v>50</v>
      </c>
      <c r="AG30" s="632">
        <v>0</v>
      </c>
      <c r="AH30" s="632">
        <v>1.49</v>
      </c>
      <c r="AI30" s="632">
        <v>0.79</v>
      </c>
      <c r="AJ30" s="632">
        <v>1.01</v>
      </c>
      <c r="AK30" s="633">
        <v>1.7</v>
      </c>
    </row>
    <row r="31" spans="2:37" ht="15" customHeight="1">
      <c r="B31" s="489" t="s">
        <v>2730</v>
      </c>
      <c r="C31" s="411"/>
      <c r="D31" s="492"/>
      <c r="E31" s="444"/>
      <c r="F31" s="603"/>
      <c r="G31" s="603"/>
      <c r="H31" s="603"/>
      <c r="I31" s="603"/>
      <c r="J31" s="603"/>
      <c r="K31" s="603"/>
      <c r="L31" s="603"/>
      <c r="M31" s="685"/>
      <c r="AD31" s="4"/>
      <c r="AG31" s="14"/>
    </row>
    <row r="32" spans="2:37" ht="15" customHeight="1">
      <c r="B32" s="489" t="s">
        <v>1091</v>
      </c>
      <c r="C32" s="411"/>
      <c r="D32" s="492"/>
      <c r="E32" s="444"/>
      <c r="F32" s="603"/>
      <c r="G32" s="603"/>
      <c r="H32" s="603"/>
      <c r="I32" s="603"/>
      <c r="J32" s="603"/>
      <c r="K32" s="603"/>
      <c r="L32" s="603"/>
      <c r="M32" s="685"/>
      <c r="AD32" s="4"/>
      <c r="AG32" s="14"/>
    </row>
    <row r="33" spans="2:33" ht="15" customHeight="1">
      <c r="B33" s="489" t="s">
        <v>1092</v>
      </c>
      <c r="C33" s="444"/>
      <c r="D33" s="444"/>
      <c r="E33" s="444"/>
      <c r="F33" s="603"/>
      <c r="G33" s="603"/>
      <c r="H33" s="603"/>
      <c r="I33" s="603"/>
      <c r="J33" s="603"/>
      <c r="K33" s="603"/>
      <c r="L33" s="603"/>
      <c r="M33" s="685"/>
      <c r="AD33" s="4"/>
      <c r="AG33" s="14"/>
    </row>
    <row r="34" spans="2:33" ht="15" customHeight="1" thickBot="1">
      <c r="B34" s="493" t="s">
        <v>1093</v>
      </c>
      <c r="C34" s="494"/>
      <c r="D34" s="494"/>
      <c r="E34" s="494"/>
      <c r="F34" s="604"/>
      <c r="G34" s="604"/>
      <c r="H34" s="604"/>
      <c r="I34" s="604"/>
      <c r="J34" s="604"/>
      <c r="K34" s="604"/>
      <c r="L34" s="604"/>
      <c r="M34" s="686"/>
      <c r="AD34" s="4"/>
      <c r="AF34" s="8"/>
    </row>
    <row r="35" spans="2:33" ht="15" customHeight="1">
      <c r="AF35" s="8"/>
    </row>
    <row r="36" spans="2:33" ht="15" customHeight="1">
      <c r="AF36" s="8"/>
    </row>
    <row r="37" spans="2:33" ht="15" customHeight="1">
      <c r="AF37" s="8"/>
    </row>
  </sheetData>
  <sheetProtection password="DEC5" sheet="1"/>
  <phoneticPr fontId="25" type="noConversion"/>
  <dataValidations count="6">
    <dataValidation type="list" showInputMessage="1" showErrorMessage="1" sqref="C4:C15" xr:uid="{00000000-0002-0000-0800-000000000000}">
      <formula1>GlassH</formula1>
    </dataValidation>
    <dataValidation type="list" showInputMessage="1" showErrorMessage="1" sqref="C19:C22" xr:uid="{00000000-0002-0000-0800-000001000000}">
      <formula1>GlassSH</formula1>
    </dataValidation>
    <dataValidation type="list" showInputMessage="1" showErrorMessage="1" sqref="D19:D22 D4:D15" xr:uid="{00000000-0002-0000-0800-000002000000}">
      <formula1>$AD$20:$AD$25</formula1>
    </dataValidation>
    <dataValidation type="list" showInputMessage="1" showErrorMessage="1" sqref="N4:N15" xr:uid="{00000000-0002-0000-0800-000003000000}">
      <formula1>$AD$12:$AD$13</formula1>
    </dataValidation>
    <dataValidation type="list" allowBlank="1" showInputMessage="1" showErrorMessage="1" sqref="D12576:D13265" xr:uid="{00000000-0002-0000-0800-000004000000}">
      <formula1>#REF!</formula1>
    </dataValidation>
    <dataValidation type="list" showInputMessage="1" showErrorMessage="1" sqref="M4:M15" xr:uid="{00000000-0002-0000-0800-000005000000}">
      <formula1>$AD$15:$AD$18</formula1>
    </dataValidation>
  </dataValidations>
  <printOptions horizontalCentered="1"/>
  <pageMargins left="0.25" right="0.25" top="1" bottom="1" header="0.5" footer="0.5"/>
  <pageSetup scale="80" orientation="landscape" blackAndWhite="1" r:id="rId1"/>
  <headerFooter alignWithMargins="0"/>
  <customProperties>
    <customPr name="SSCSheetTrackingNo" r:id="rId2"/>
  </customPropertie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38</vt:i4>
      </vt:variant>
    </vt:vector>
  </HeadingPairs>
  <TitlesOfParts>
    <vt:vector size="59" baseType="lpstr">
      <vt:lpstr>Appliances</vt:lpstr>
      <vt:lpstr>Plants</vt:lpstr>
      <vt:lpstr>Blower</vt:lpstr>
      <vt:lpstr>Home</vt:lpstr>
      <vt:lpstr>Read Me</vt:lpstr>
      <vt:lpstr>Cities</vt:lpstr>
      <vt:lpstr>J1 Form</vt:lpstr>
      <vt:lpstr>Summary</vt:lpstr>
      <vt:lpstr>Glass Sched</vt:lpstr>
      <vt:lpstr>Doors</vt:lpstr>
      <vt:lpstr>Glass</vt:lpstr>
      <vt:lpstr>Walls</vt:lpstr>
      <vt:lpstr>Ceilings</vt:lpstr>
      <vt:lpstr>Floors</vt:lpstr>
      <vt:lpstr>Help</vt:lpstr>
      <vt:lpstr>What to do next</vt:lpstr>
      <vt:lpstr>Notes</vt:lpstr>
      <vt:lpstr>Infil</vt:lpstr>
      <vt:lpstr>Ducts</vt:lpstr>
      <vt:lpstr>Group</vt:lpstr>
      <vt:lpstr>Calc</vt:lpstr>
      <vt:lpstr>_16B_19ad__FHA_Vented_Attic__R_19__Asphalt_Shingles__Dark</vt:lpstr>
      <vt:lpstr>Appliances</vt:lpstr>
      <vt:lpstr>Blower</vt:lpstr>
      <vt:lpstr>Blower1</vt:lpstr>
      <vt:lpstr>Ceilings</vt:lpstr>
      <vt:lpstr>Ceilings1</vt:lpstr>
      <vt:lpstr>city</vt:lpstr>
      <vt:lpstr>Doors</vt:lpstr>
      <vt:lpstr>Ducts</vt:lpstr>
      <vt:lpstr>Ducts1</vt:lpstr>
      <vt:lpstr>Ducts2</vt:lpstr>
      <vt:lpstr>Floors</vt:lpstr>
      <vt:lpstr>Floors1</vt:lpstr>
      <vt:lpstr>floors2</vt:lpstr>
      <vt:lpstr>Floors3</vt:lpstr>
      <vt:lpstr>Floors4</vt:lpstr>
      <vt:lpstr>GlassH</vt:lpstr>
      <vt:lpstr>GlassSH</vt:lpstr>
      <vt:lpstr>Infil1</vt:lpstr>
      <vt:lpstr>Infil2</vt:lpstr>
      <vt:lpstr>Plants</vt:lpstr>
      <vt:lpstr>Ceilings!Print_Area</vt:lpstr>
      <vt:lpstr>Doors!Print_Area</vt:lpstr>
      <vt:lpstr>Floors!Print_Area</vt:lpstr>
      <vt:lpstr>Glass!Print_Area</vt:lpstr>
      <vt:lpstr>'Glass Sched'!Print_Area</vt:lpstr>
      <vt:lpstr>Help!Print_Area</vt:lpstr>
      <vt:lpstr>'What to do next'!Print_Area</vt:lpstr>
      <vt:lpstr>Print_Area_MI</vt:lpstr>
      <vt:lpstr>RH</vt:lpstr>
      <vt:lpstr>state</vt:lpstr>
      <vt:lpstr>vent</vt:lpstr>
      <vt:lpstr>WallsAG</vt:lpstr>
      <vt:lpstr>WallsAG1</vt:lpstr>
      <vt:lpstr>WallsBG</vt:lpstr>
      <vt:lpstr>WallsBG1</vt:lpstr>
      <vt:lpstr>WallsPart</vt:lpstr>
      <vt:lpstr>WKSHT_C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MJ8ae</dc:title>
  <dc:creator>Kenny Watson</dc:creator>
  <cp:lastModifiedBy>Desmarais, Luke</cp:lastModifiedBy>
  <cp:lastPrinted>2008-08-12T03:51:57Z</cp:lastPrinted>
  <dcterms:created xsi:type="dcterms:W3CDTF">2002-10-10T18:48:54Z</dcterms:created>
  <dcterms:modified xsi:type="dcterms:W3CDTF">2025-02-25T19:52:10Z</dcterms:modified>
</cp:coreProperties>
</file>