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0f52a33b0168a1e/Documents/House/"/>
    </mc:Choice>
  </mc:AlternateContent>
  <bookViews>
    <workbookView xWindow="0" yWindow="0" windowWidth="15525" windowHeight="7215" firstSheet="3" activeTab="3"/>
  </bookViews>
  <sheets>
    <sheet name="Worksheet" sheetId="1" r:id="rId1"/>
    <sheet name="Recommendations Gorton" sheetId="4" r:id="rId2"/>
    <sheet name="Recommendations Hoffman1A" sheetId="5" r:id="rId3"/>
    <sheet name="Notes" sheetId="6" r:id="rId4"/>
    <sheet name="Tables (Gill &amp; Pajek)" sheetId="2" r:id="rId5"/>
  </sheets>
  <definedNames>
    <definedName name="CFM_PipeLinFoot">Worksheet!$G$24:$G$33</definedName>
    <definedName name="CFM_Vent_Lookup_1oz">'Tables (Gill &amp; Pajek)'!$B$17:$C$22</definedName>
    <definedName name="CFM_Vent_Lookup_2oz">'Tables (Gill &amp; Pajek)'!$E$19:$F$23</definedName>
    <definedName name="CFM_Vent_Lookup_3oz">'Tables (Gill &amp; Pajek)'!$H$17:$I$21</definedName>
    <definedName name="CFM_Vent_Lookup_Hoff1A_1oz">'Tables (Gill &amp; Pajek)'!$K$17:$L$22</definedName>
    <definedName name="CFM_Vent_Lookup_Hoff1A_2oz">'Tables (Gill &amp; Pajek)'!$N$17:$O$22</definedName>
    <definedName name="CFM_Vent_Lookup_Hoff1A_3oz">'Tables (Gill &amp; Pajek)'!$Q$17:$R$22</definedName>
    <definedName name="Gorton_Caps">'Tables (Gill &amp; Pajek)'!$H$4:$K$10</definedName>
    <definedName name="Hoffman_Caps">'Tables (Gill &amp; Pajek)'!$M$5:$P$10</definedName>
    <definedName name="Pipe_Size">'Tables (Gill &amp; Pajek)'!$E$4:$E$15</definedName>
    <definedName name="_xlnm.Print_Area" localSheetId="0">Worksheet!$A$1:$K$30</definedName>
    <definedName name="RadType">'Tables (Gill &amp; Pajek)'!$B$4:$B$13</definedName>
    <definedName name="RadType_LU">'Tables (Gill &amp; Pajek)'!$B$4:$C$13</definedName>
  </definedNames>
  <calcPr calcId="152511"/>
</workbook>
</file>

<file path=xl/calcChain.xml><?xml version="1.0" encoding="utf-8"?>
<calcChain xmlns="http://schemas.openxmlformats.org/spreadsheetml/2006/main">
  <c r="H12" i="2" l="1"/>
  <c r="E22" i="1" l="1"/>
  <c r="E21" i="1"/>
  <c r="H21" i="1" s="1"/>
  <c r="J21" i="1" s="1"/>
  <c r="G17" i="4" s="1"/>
  <c r="E20" i="1"/>
  <c r="H20" i="1" s="1"/>
  <c r="E19" i="1"/>
  <c r="E18" i="1"/>
  <c r="H18" i="1" s="1"/>
  <c r="E17" i="1"/>
  <c r="H17" i="1" s="1"/>
  <c r="E16" i="1"/>
  <c r="H16" i="1" s="1"/>
  <c r="E15" i="1"/>
  <c r="H15" i="1" s="1"/>
  <c r="J15" i="1" s="1"/>
  <c r="G11" i="4" s="1"/>
  <c r="E14" i="1"/>
  <c r="H14" i="1" s="1"/>
  <c r="E13" i="1"/>
  <c r="H13" i="1" s="1"/>
  <c r="E12" i="1"/>
  <c r="H12" i="1" s="1"/>
  <c r="E11" i="1"/>
  <c r="H11" i="1" s="1"/>
  <c r="E10" i="1"/>
  <c r="E9" i="1"/>
  <c r="H9" i="1" s="1"/>
  <c r="E8" i="1"/>
  <c r="H8" i="1" s="1"/>
  <c r="H19" i="1"/>
  <c r="J19" i="1" s="1"/>
  <c r="G15" i="4" s="1"/>
  <c r="H22" i="1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E7" i="1"/>
  <c r="H7" i="1" s="1"/>
  <c r="B23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9" i="1"/>
  <c r="H10" i="1" l="1"/>
  <c r="J10" i="1" s="1"/>
  <c r="J8" i="1"/>
  <c r="I4" i="5" s="1"/>
  <c r="J4" i="5" s="1"/>
  <c r="J17" i="1"/>
  <c r="G13" i="4" s="1"/>
  <c r="J12" i="1"/>
  <c r="G8" i="4" s="1"/>
  <c r="J22" i="1"/>
  <c r="G18" i="4" s="1"/>
  <c r="J20" i="1"/>
  <c r="G16" i="4" s="1"/>
  <c r="J18" i="1"/>
  <c r="G14" i="4" s="1"/>
  <c r="J16" i="1"/>
  <c r="G12" i="4" s="1"/>
  <c r="J14" i="1"/>
  <c r="G10" i="4" s="1"/>
  <c r="G4" i="4"/>
  <c r="L17" i="4"/>
  <c r="M17" i="4" s="1"/>
  <c r="L15" i="4"/>
  <c r="M15" i="4" s="1"/>
  <c r="L11" i="4"/>
  <c r="M11" i="4" s="1"/>
  <c r="L18" i="4"/>
  <c r="M18" i="4" s="1"/>
  <c r="G4" i="5"/>
  <c r="G18" i="5"/>
  <c r="H18" i="5" s="1"/>
  <c r="I18" i="5"/>
  <c r="J18" i="5" s="1"/>
  <c r="K4" i="5"/>
  <c r="K18" i="5"/>
  <c r="L18" i="5" s="1"/>
  <c r="G11" i="5"/>
  <c r="H11" i="5" s="1"/>
  <c r="G15" i="5"/>
  <c r="H15" i="5" s="1"/>
  <c r="G17" i="5"/>
  <c r="H17" i="5" s="1"/>
  <c r="I11" i="5"/>
  <c r="J11" i="5" s="1"/>
  <c r="I15" i="5"/>
  <c r="J15" i="5" s="1"/>
  <c r="I17" i="5"/>
  <c r="J17" i="5" s="1"/>
  <c r="K11" i="5"/>
  <c r="L11" i="5" s="1"/>
  <c r="K15" i="5"/>
  <c r="L15" i="5" s="1"/>
  <c r="K17" i="5"/>
  <c r="L17" i="5" s="1"/>
  <c r="H18" i="4"/>
  <c r="H16" i="4"/>
  <c r="H4" i="4"/>
  <c r="K8" i="1" s="1"/>
  <c r="J18" i="4"/>
  <c r="K18" i="4" s="1"/>
  <c r="J16" i="4"/>
  <c r="K16" i="4" s="1"/>
  <c r="J4" i="4"/>
  <c r="H17" i="4"/>
  <c r="H15" i="4"/>
  <c r="H11" i="4"/>
  <c r="J17" i="4"/>
  <c r="K17" i="4" s="1"/>
  <c r="J15" i="4"/>
  <c r="K15" i="4" s="1"/>
  <c r="J11" i="4"/>
  <c r="K11" i="4" s="1"/>
  <c r="C23" i="1"/>
  <c r="J7" i="1"/>
  <c r="G3" i="4" s="1"/>
  <c r="J13" i="1"/>
  <c r="G9" i="4" s="1"/>
  <c r="J11" i="1"/>
  <c r="G7" i="4" s="1"/>
  <c r="J9" i="1"/>
  <c r="G5" i="4" s="1"/>
  <c r="G10" i="5" l="1"/>
  <c r="H10" i="5" s="1"/>
  <c r="J8" i="4"/>
  <c r="K8" i="4" s="1"/>
  <c r="K8" i="5"/>
  <c r="L8" i="5" s="1"/>
  <c r="J12" i="4"/>
  <c r="K12" i="4" s="1"/>
  <c r="H12" i="4"/>
  <c r="K16" i="1" s="1"/>
  <c r="K12" i="5"/>
  <c r="L12" i="5" s="1"/>
  <c r="J10" i="4"/>
  <c r="K10" i="4" s="1"/>
  <c r="K10" i="5"/>
  <c r="L10" i="5" s="1"/>
  <c r="I10" i="5"/>
  <c r="J10" i="5" s="1"/>
  <c r="H10" i="4"/>
  <c r="L10" i="4"/>
  <c r="M10" i="4" s="1"/>
  <c r="H14" i="4"/>
  <c r="I14" i="4" s="1"/>
  <c r="K14" i="5"/>
  <c r="L14" i="5" s="1"/>
  <c r="H8" i="4"/>
  <c r="I8" i="4" s="1"/>
  <c r="I16" i="5"/>
  <c r="J16" i="5" s="1"/>
  <c r="J13" i="4"/>
  <c r="K13" i="4" s="1"/>
  <c r="H13" i="4"/>
  <c r="I13" i="4" s="1"/>
  <c r="I14" i="5"/>
  <c r="J14" i="5" s="1"/>
  <c r="G14" i="5"/>
  <c r="H14" i="5" s="1"/>
  <c r="L14" i="4"/>
  <c r="M14" i="4" s="1"/>
  <c r="J14" i="4"/>
  <c r="K14" i="4" s="1"/>
  <c r="K13" i="5"/>
  <c r="L13" i="5" s="1"/>
  <c r="I13" i="5"/>
  <c r="J13" i="5" s="1"/>
  <c r="G13" i="5"/>
  <c r="H13" i="5" s="1"/>
  <c r="L13" i="4"/>
  <c r="M13" i="4" s="1"/>
  <c r="K4" i="4"/>
  <c r="H4" i="5"/>
  <c r="I18" i="4"/>
  <c r="K22" i="1"/>
  <c r="I17" i="4"/>
  <c r="K21" i="1"/>
  <c r="K16" i="5"/>
  <c r="L16" i="5" s="1"/>
  <c r="G16" i="5"/>
  <c r="H16" i="5" s="1"/>
  <c r="I16" i="4"/>
  <c r="K20" i="1"/>
  <c r="I15" i="4"/>
  <c r="K19" i="1"/>
  <c r="I12" i="4"/>
  <c r="I12" i="5"/>
  <c r="J12" i="5" s="1"/>
  <c r="I11" i="4"/>
  <c r="K15" i="1"/>
  <c r="I10" i="4"/>
  <c r="K14" i="1"/>
  <c r="I8" i="5"/>
  <c r="J8" i="5" s="1"/>
  <c r="G8" i="5"/>
  <c r="H8" i="5" s="1"/>
  <c r="L4" i="4"/>
  <c r="M4" i="4" s="1"/>
  <c r="L4" i="5"/>
  <c r="I4" i="4"/>
  <c r="G6" i="4"/>
  <c r="L6" i="4"/>
  <c r="M6" i="4" s="1"/>
  <c r="G6" i="5"/>
  <c r="H6" i="5" s="1"/>
  <c r="H6" i="4"/>
  <c r="J6" i="4"/>
  <c r="K6" i="4" s="1"/>
  <c r="I6" i="5"/>
  <c r="J6" i="5" s="1"/>
  <c r="K6" i="5"/>
  <c r="L6" i="5" s="1"/>
  <c r="G12" i="5"/>
  <c r="H12" i="5" s="1"/>
  <c r="L12" i="4"/>
  <c r="M12" i="4" s="1"/>
  <c r="L16" i="4"/>
  <c r="M16" i="4" s="1"/>
  <c r="L8" i="4"/>
  <c r="M8" i="4" s="1"/>
  <c r="J23" i="1"/>
  <c r="K5" i="5"/>
  <c r="L5" i="5" s="1"/>
  <c r="I5" i="5"/>
  <c r="J5" i="5" s="1"/>
  <c r="G5" i="5"/>
  <c r="H5" i="5" s="1"/>
  <c r="K9" i="5"/>
  <c r="L9" i="5" s="1"/>
  <c r="I9" i="5"/>
  <c r="J9" i="5" s="1"/>
  <c r="G9" i="5"/>
  <c r="H9" i="5" s="1"/>
  <c r="K7" i="5"/>
  <c r="L7" i="5" s="1"/>
  <c r="I7" i="5"/>
  <c r="J7" i="5" s="1"/>
  <c r="G7" i="5"/>
  <c r="H7" i="5" s="1"/>
  <c r="K3" i="5"/>
  <c r="L3" i="5" s="1"/>
  <c r="I3" i="5"/>
  <c r="J3" i="5" s="1"/>
  <c r="G3" i="5"/>
  <c r="H3" i="5" s="1"/>
  <c r="L5" i="4"/>
  <c r="J5" i="4"/>
  <c r="H5" i="4"/>
  <c r="K9" i="1" s="1"/>
  <c r="L9" i="4"/>
  <c r="M9" i="4" s="1"/>
  <c r="J9" i="4"/>
  <c r="K9" i="4" s="1"/>
  <c r="H9" i="4"/>
  <c r="L7" i="4"/>
  <c r="M7" i="4" s="1"/>
  <c r="J7" i="4"/>
  <c r="K7" i="4" s="1"/>
  <c r="H7" i="4"/>
  <c r="L3" i="4"/>
  <c r="M3" i="4" s="1"/>
  <c r="J3" i="4"/>
  <c r="K3" i="4" s="1"/>
  <c r="H3" i="4"/>
  <c r="K7" i="1" s="1"/>
  <c r="K18" i="1" l="1"/>
  <c r="K17" i="1"/>
  <c r="K12" i="1"/>
  <c r="I3" i="4"/>
  <c r="I9" i="4"/>
  <c r="K13" i="1"/>
  <c r="I7" i="4"/>
  <c r="K11" i="1"/>
  <c r="I6" i="4"/>
  <c r="K10" i="1"/>
  <c r="I5" i="4"/>
  <c r="I26" i="4"/>
  <c r="E27" i="1" s="1"/>
  <c r="I28" i="4"/>
  <c r="E29" i="1" s="1"/>
  <c r="I25" i="4"/>
  <c r="E26" i="1" s="1"/>
  <c r="I27" i="4"/>
  <c r="E28" i="1" s="1"/>
  <c r="I24" i="4"/>
  <c r="E25" i="1" s="1"/>
  <c r="K5" i="4"/>
  <c r="K19" i="4" s="1"/>
  <c r="K25" i="4"/>
  <c r="K27" i="4"/>
  <c r="K24" i="4"/>
  <c r="K26" i="4"/>
  <c r="K28" i="4"/>
  <c r="M5" i="4"/>
  <c r="M19" i="4" s="1"/>
  <c r="M26" i="4"/>
  <c r="M28" i="4"/>
  <c r="M25" i="4"/>
  <c r="M27" i="4"/>
  <c r="M24" i="4"/>
  <c r="K20" i="4"/>
  <c r="L20" i="5"/>
  <c r="H20" i="5"/>
  <c r="M20" i="4"/>
  <c r="I20" i="4"/>
  <c r="J20" i="5"/>
  <c r="H19" i="5"/>
  <c r="L19" i="5"/>
  <c r="J19" i="5"/>
  <c r="I19" i="4" l="1"/>
  <c r="I21" i="4" s="1"/>
  <c r="I22" i="4" s="1"/>
  <c r="J21" i="5"/>
  <c r="J22" i="5" s="1"/>
  <c r="H21" i="5"/>
  <c r="H22" i="5" s="1"/>
  <c r="L21" i="5"/>
  <c r="L22" i="5" s="1"/>
  <c r="K21" i="4"/>
  <c r="K22" i="4" s="1"/>
  <c r="M21" i="4"/>
  <c r="M22" i="4" s="1"/>
</calcChain>
</file>

<file path=xl/sharedStrings.xml><?xml version="1.0" encoding="utf-8"?>
<sst xmlns="http://schemas.openxmlformats.org/spreadsheetml/2006/main" count="253" uniqueCount="134">
  <si>
    <t>gorton</t>
  </si>
  <si>
    <t>#2</t>
  </si>
  <si>
    <t>#4</t>
  </si>
  <si>
    <t>#5</t>
  </si>
  <si>
    <t>#6</t>
  </si>
  <si>
    <t>TOTAL</t>
  </si>
  <si>
    <t>#C</t>
  </si>
  <si>
    <t>1-1/4"</t>
  </si>
  <si>
    <t>1-1/2"</t>
  </si>
  <si>
    <t>2"</t>
  </si>
  <si>
    <t>2-1/2"</t>
  </si>
  <si>
    <t>3"</t>
  </si>
  <si>
    <t>3-1/2"</t>
  </si>
  <si>
    <t>4"</t>
  </si>
  <si>
    <t>5"</t>
  </si>
  <si>
    <t>6"</t>
  </si>
  <si>
    <t>8"</t>
  </si>
  <si>
    <t>Pipe Size</t>
  </si>
  <si>
    <t>CFM/PipeLinFoot</t>
  </si>
  <si>
    <t>Radiator Type</t>
  </si>
  <si>
    <t>CF/sqftEDR</t>
  </si>
  <si>
    <t xml:space="preserve">Cast-iron flue (antique radiators) </t>
  </si>
  <si>
    <t xml:space="preserve">Cast-iron wall- or ceiling-mounted </t>
  </si>
  <si>
    <t xml:space="preserve">Cast-iron column (circa 1900) </t>
  </si>
  <si>
    <t xml:space="preserve">Cast-iron tube (circa 1930) </t>
  </si>
  <si>
    <t xml:space="preserve">Cast-iron thin tube (as made today) </t>
  </si>
  <si>
    <t xml:space="preserve">Cast-iron radiant radiator (5" deep) </t>
  </si>
  <si>
    <t xml:space="preserve">Cast-iron baseboard (10"-high) </t>
  </si>
  <si>
    <t xml:space="preserve">Cast-iron convector (in cabinet) </t>
  </si>
  <si>
    <t xml:space="preserve">Unit heater </t>
  </si>
  <si>
    <t>RadType</t>
  </si>
  <si>
    <t>#D (#1 if Main Vent)</t>
  </si>
  <si>
    <t>CFM_Max</t>
  </si>
  <si>
    <t>RadCF to Vent</t>
  </si>
  <si>
    <t>total CF (Rad+Pipe)</t>
  </si>
  <si>
    <t>runout length (ft)</t>
  </si>
  <si>
    <t>ElementName</t>
  </si>
  <si>
    <t>CFM to Vent</t>
  </si>
  <si>
    <t xml:space="preserve">sq ft EDR </t>
  </si>
  <si>
    <r>
      <t xml:space="preserve">Recommended resource: </t>
    </r>
    <r>
      <rPr>
        <b/>
        <i/>
        <sz val="10"/>
        <color theme="1"/>
        <rFont val="Calibri"/>
        <family val="2"/>
        <scheme val="minor"/>
      </rPr>
      <t>E.D.R.</t>
    </r>
    <r>
      <rPr>
        <b/>
        <sz val="10"/>
        <color theme="1"/>
        <rFont val="Calibri"/>
        <family val="2"/>
        <scheme val="minor"/>
      </rPr>
      <t xml:space="preserve"> by Dan Holohan available for purchase www.heatinghelp.com</t>
    </r>
  </si>
  <si>
    <r>
      <t xml:space="preserve">Formulas and Data based on: </t>
    </r>
    <r>
      <rPr>
        <b/>
        <i/>
        <sz val="10"/>
        <color theme="1"/>
        <rFont val="Calibri"/>
        <family val="2"/>
        <scheme val="minor"/>
      </rPr>
      <t xml:space="preserve">Balancing Steam Systems </t>
    </r>
    <r>
      <rPr>
        <b/>
        <sz val="10"/>
        <color theme="1"/>
        <rFont val="Calibri"/>
        <family val="2"/>
        <scheme val="minor"/>
      </rPr>
      <t>by Gerry Gill &amp; Steve Pajek available for purchase www.heatinghelp.com</t>
    </r>
  </si>
  <si>
    <t>Instructions:</t>
  </si>
  <si>
    <t>Minutes To Vent</t>
  </si>
  <si>
    <t>#4, #5, #6, #C and #D available as 1/8" Angles</t>
  </si>
  <si>
    <t>#4, #5, #6, #C and #D available as 1/4" or 1/8" Straight</t>
  </si>
  <si>
    <t>#1 available as 3/8"M, 3/4"M or 1/2"F Straight</t>
  </si>
  <si>
    <t>#2 available as 1/2"M Straight</t>
  </si>
  <si>
    <t>1oz</t>
  </si>
  <si>
    <t>2oz</t>
  </si>
  <si>
    <t>3oz</t>
  </si>
  <si>
    <t>CFM_Vent_Lookup_1oz</t>
  </si>
  <si>
    <t>CFM_Vent_Lookup_2oz</t>
  </si>
  <si>
    <t>CFM_Vent_Lookup_3oz</t>
  </si>
  <si>
    <t>Main_Vent_LU</t>
  </si>
  <si>
    <t>#1</t>
  </si>
  <si>
    <t>Main</t>
  </si>
  <si>
    <t>Element</t>
  </si>
  <si>
    <t>1/2" pipe can support 2pcs #2</t>
  </si>
  <si>
    <t>3/4" pipe can support 4pcs #2 + 1pcs #1</t>
  </si>
  <si>
    <t>1" pipe can support 5pcs #2</t>
  </si>
  <si>
    <t>Main Venting Manifold Size</t>
  </si>
  <si>
    <t>Gorton Valve Options</t>
  </si>
  <si>
    <t>1) Edit the PEACH colored cells. 2) Use Pull-Downs for RadType/MAIN &amp; Pipe Size. 3) Click "Recommendation" Tab for results.</t>
  </si>
  <si>
    <r>
      <rPr>
        <b/>
        <sz val="11"/>
        <color theme="1"/>
        <rFont val="Calibri"/>
        <family val="2"/>
        <scheme val="minor"/>
      </rPr>
      <t>Developed by: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5"/>
        <rFont val="Calibri"/>
        <family val="2"/>
        <scheme val="minor"/>
      </rPr>
      <t>JP Freeley - Nov 2009 - jpf321@gmail.com</t>
    </r>
  </si>
  <si>
    <t>BTUH (240BTUH X SqFtEDR)</t>
  </si>
  <si>
    <t>CFM_Vent_Lookup_Hoff1A_1oz</t>
  </si>
  <si>
    <t>CFM_Mac</t>
  </si>
  <si>
    <t>Hoff1a</t>
  </si>
  <si>
    <t>CFM_Vent_Lookup_Hoff1A_2oz</t>
  </si>
  <si>
    <t>CFM_Vent_Lookup_Hoff1A_3oz</t>
  </si>
  <si>
    <t>Hoffman 1A Valves</t>
  </si>
  <si>
    <t>Are fully adjustable from 1-6 and available as 1/8" Angles</t>
  </si>
  <si>
    <t>1/2" pipe can support 2pcs #2 (Gorton)</t>
  </si>
  <si>
    <t>3/4" pipe can support 4pcs #2 + 1pcs #1 (Gorton)</t>
  </si>
  <si>
    <t>1" pipe can support 5pcs #2 (Gorton)</t>
  </si>
  <si>
    <t>MAIN VENTS ARE PROVIDED AS GORTON BRAND</t>
  </si>
  <si>
    <t>Hidden Columns A-R containing data tables</t>
  </si>
  <si>
    <t>#D</t>
  </si>
  <si>
    <t>Gorton Capacities</t>
  </si>
  <si>
    <t>Hoffman 1A Capacities</t>
  </si>
  <si>
    <t>Cap</t>
  </si>
  <si>
    <t>Total Vent Capacity (cfm)</t>
  </si>
  <si>
    <t>Venting Needed (cfm)</t>
  </si>
  <si>
    <t>Venting Surplus (cfm)</t>
  </si>
  <si>
    <t>Venting Surplus (%)</t>
  </si>
  <si>
    <t>4-1/2"</t>
  </si>
  <si>
    <t>Main Vent Conversions</t>
  </si>
  <si>
    <t>~2pcs Hoffman #75 = 1pc Gorton #2</t>
  </si>
  <si>
    <t>~3pcs Hoffman #76 = 1pc Gorton #2</t>
  </si>
  <si>
    <t>~4pcs Gorton #1 = 1pc Gorton #2</t>
  </si>
  <si>
    <t>MAIN 1</t>
  </si>
  <si>
    <t>MAIN 2</t>
  </si>
  <si>
    <t>AND MAINS AS ABOVE</t>
  </si>
  <si>
    <t>PURCHASE 1oz</t>
  </si>
  <si>
    <t>Qty</t>
  </si>
  <si>
    <t>1"</t>
  </si>
  <si>
    <t>Recommendations 1oz</t>
  </si>
  <si>
    <t>Den</t>
  </si>
  <si>
    <t>Dining</t>
  </si>
  <si>
    <t>Living</t>
  </si>
  <si>
    <t>Kitchen</t>
  </si>
  <si>
    <t>Half Bath</t>
  </si>
  <si>
    <t>Guest</t>
  </si>
  <si>
    <t>Emmy's Office</t>
  </si>
  <si>
    <t>Dan's Office</t>
  </si>
  <si>
    <t xml:space="preserve">Master </t>
  </si>
  <si>
    <t>Bathroom</t>
  </si>
  <si>
    <t>-</t>
  </si>
  <si>
    <t>Timing</t>
  </si>
  <si>
    <t>Time to Mains all hot</t>
  </si>
  <si>
    <t>time to boiler off</t>
  </si>
  <si>
    <t>Time to Hot header</t>
  </si>
  <si>
    <t>upstairs radiators still cold</t>
  </si>
  <si>
    <t>Run</t>
  </si>
  <si>
    <t>Length</t>
  </si>
  <si>
    <t>Dry Return 1</t>
  </si>
  <si>
    <t>Main 1</t>
  </si>
  <si>
    <t>Main 2</t>
  </si>
  <si>
    <t>Dry Return 2</t>
  </si>
  <si>
    <t>back of house</t>
  </si>
  <si>
    <t>front of house</t>
  </si>
  <si>
    <t>submain right</t>
  </si>
  <si>
    <t>submain left</t>
  </si>
  <si>
    <t>header</t>
  </si>
  <si>
    <t>22" above water line</t>
  </si>
  <si>
    <t>risers</t>
  </si>
  <si>
    <t>vertical</t>
  </si>
  <si>
    <t xml:space="preserve">4" </t>
  </si>
  <si>
    <t>main vents</t>
  </si>
  <si>
    <t>USAV</t>
  </si>
  <si>
    <t>4x1"</t>
  </si>
  <si>
    <t>Time to submains all hot</t>
  </si>
  <si>
    <t>Boiler</t>
  </si>
  <si>
    <t>H.B.Smith BB14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</si>
</sst>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9"/>
      <color rgb="FF00B050"/>
      <name val="Calibri"/>
      <family val="2"/>
      <scheme val="minor"/>
    </font>
    <font>
      <i/>
      <sz val="9"/>
      <color rgb="FF00B05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0" fillId="0" borderId="1" xfId="0" applyBorder="1" applyProtection="1"/>
    <xf numFmtId="0" fontId="1" fillId="0" borderId="0" xfId="0" applyFont="1" applyProtection="1"/>
    <xf numFmtId="0" fontId="0" fillId="0" borderId="0" xfId="0" applyProtection="1">
      <protection hidden="1"/>
    </xf>
    <xf numFmtId="0" fontId="1" fillId="0" borderId="1" xfId="0" applyFont="1" applyBorder="1" applyAlignment="1" applyProtection="1">
      <alignment wrapText="1"/>
    </xf>
    <xf numFmtId="164" fontId="0" fillId="0" borderId="1" xfId="0" applyNumberFormat="1" applyBorder="1" applyProtection="1"/>
    <xf numFmtId="164" fontId="0" fillId="0" borderId="1" xfId="0" applyNumberFormat="1" applyFont="1" applyBorder="1" applyProtection="1"/>
    <xf numFmtId="0" fontId="2" fillId="0" borderId="0" xfId="0" applyFont="1" applyProtection="1"/>
    <xf numFmtId="164" fontId="0" fillId="0" borderId="0" xfId="0" applyNumberFormat="1" applyProtection="1">
      <protection locked="0"/>
    </xf>
    <xf numFmtId="0" fontId="1" fillId="0" borderId="0" xfId="0" applyFont="1" applyFill="1" applyBorder="1" applyProtection="1"/>
    <xf numFmtId="164" fontId="0" fillId="0" borderId="0" xfId="0" applyNumberFormat="1" applyProtection="1"/>
    <xf numFmtId="0" fontId="5" fillId="0" borderId="1" xfId="0" applyFont="1" applyBorder="1" applyProtection="1"/>
    <xf numFmtId="0" fontId="5" fillId="3" borderId="1" xfId="0" applyFont="1" applyFill="1" applyBorder="1" applyProtection="1"/>
    <xf numFmtId="0" fontId="4" fillId="3" borderId="1" xfId="0" applyFont="1" applyFill="1" applyBorder="1" applyProtection="1"/>
    <xf numFmtId="0" fontId="4" fillId="0" borderId="1" xfId="0" applyFont="1" applyFill="1" applyBorder="1" applyProtection="1"/>
    <xf numFmtId="164" fontId="0" fillId="0" borderId="0" xfId="0" applyNumberFormat="1"/>
    <xf numFmtId="164" fontId="4" fillId="3" borderId="1" xfId="0" applyNumberFormat="1" applyFont="1" applyFill="1" applyBorder="1" applyProtection="1"/>
    <xf numFmtId="0" fontId="1" fillId="0" borderId="0" xfId="0" applyFont="1"/>
    <xf numFmtId="0" fontId="5" fillId="0" borderId="1" xfId="0" applyFont="1" applyFill="1" applyBorder="1" applyProtection="1"/>
    <xf numFmtId="164" fontId="4" fillId="0" borderId="1" xfId="0" applyNumberFormat="1" applyFont="1" applyFill="1" applyBorder="1" applyProtection="1"/>
    <xf numFmtId="164" fontId="1" fillId="0" borderId="0" xfId="0" applyNumberFormat="1" applyFont="1" applyProtection="1"/>
    <xf numFmtId="0" fontId="1" fillId="0" borderId="2" xfId="0" applyFont="1" applyBorder="1" applyProtection="1"/>
    <xf numFmtId="0" fontId="1" fillId="0" borderId="0" xfId="0" applyFont="1" applyFill="1" applyBorder="1"/>
    <xf numFmtId="9" fontId="1" fillId="0" borderId="0" xfId="1" applyFont="1"/>
    <xf numFmtId="0" fontId="0" fillId="2" borderId="1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1" fillId="0" borderId="5" xfId="0" applyFont="1" applyFill="1" applyBorder="1" applyAlignment="1">
      <alignment horizontal="right"/>
    </xf>
    <xf numFmtId="0" fontId="0" fillId="0" borderId="6" xfId="0" applyBorder="1"/>
    <xf numFmtId="0" fontId="0" fillId="0" borderId="8" xfId="0" applyBorder="1"/>
    <xf numFmtId="0" fontId="1" fillId="0" borderId="9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9" fillId="0" borderId="1" xfId="0" applyFont="1" applyBorder="1" applyProtection="1"/>
    <xf numFmtId="0" fontId="9" fillId="0" borderId="1" xfId="0" applyFont="1" applyFill="1" applyBorder="1" applyProtection="1"/>
    <xf numFmtId="0" fontId="9" fillId="3" borderId="1" xfId="0" applyFont="1" applyFill="1" applyBorder="1" applyProtection="1"/>
    <xf numFmtId="164" fontId="10" fillId="3" borderId="1" xfId="0" applyNumberFormat="1" applyFont="1" applyFill="1" applyBorder="1" applyProtection="1"/>
    <xf numFmtId="164" fontId="10" fillId="0" borderId="1" xfId="0" applyNumberFormat="1" applyFont="1" applyFill="1" applyBorder="1" applyProtection="1"/>
    <xf numFmtId="0" fontId="11" fillId="0" borderId="0" xfId="0" applyFont="1"/>
    <xf numFmtId="0" fontId="12" fillId="0" borderId="0" xfId="0" applyFont="1" applyAlignment="1">
      <alignment horizontal="right"/>
    </xf>
    <xf numFmtId="164" fontId="12" fillId="0" borderId="0" xfId="0" applyNumberFormat="1" applyFont="1"/>
    <xf numFmtId="0" fontId="12" fillId="0" borderId="2" xfId="0" applyFont="1" applyBorder="1"/>
    <xf numFmtId="0" fontId="12" fillId="0" borderId="0" xfId="0" applyFont="1"/>
    <xf numFmtId="0" fontId="12" fillId="0" borderId="0" xfId="0" applyFont="1" applyFill="1" applyBorder="1" applyAlignment="1">
      <alignment horizontal="right"/>
    </xf>
    <xf numFmtId="9" fontId="12" fillId="0" borderId="0" xfId="1" applyFont="1"/>
    <xf numFmtId="0" fontId="12" fillId="0" borderId="0" xfId="0" applyFont="1" applyFill="1" applyBorder="1" applyProtection="1"/>
    <xf numFmtId="0" fontId="11" fillId="0" borderId="0" xfId="0" applyFont="1" applyProtection="1"/>
    <xf numFmtId="0" fontId="12" fillId="0" borderId="0" xfId="0" applyFont="1" applyProtection="1"/>
    <xf numFmtId="164" fontId="12" fillId="0" borderId="2" xfId="0" applyNumberFormat="1" applyFont="1" applyBorder="1"/>
    <xf numFmtId="165" fontId="0" fillId="2" borderId="1" xfId="0" applyNumberFormat="1" applyFont="1" applyFill="1" applyBorder="1" applyProtection="1">
      <protection locked="0"/>
    </xf>
    <xf numFmtId="2" fontId="0" fillId="0" borderId="0" xfId="0" applyNumberFormat="1"/>
    <xf numFmtId="0" fontId="0" fillId="0" borderId="12" xfId="0" applyBorder="1" applyAlignment="1" applyProtection="1">
      <alignment horizontal="right"/>
    </xf>
    <xf numFmtId="0" fontId="0" fillId="0" borderId="13" xfId="0" applyBorder="1" applyAlignment="1" applyProtection="1">
      <alignment horizontal="right"/>
    </xf>
    <xf numFmtId="0" fontId="1" fillId="4" borderId="3" xfId="0" applyFont="1" applyFill="1" applyBorder="1" applyAlignment="1" applyProtection="1">
      <alignment horizontal="center"/>
    </xf>
    <xf numFmtId="0" fontId="1" fillId="4" borderId="4" xfId="0" applyFont="1" applyFill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right"/>
    </xf>
    <xf numFmtId="0" fontId="0" fillId="0" borderId="6" xfId="0" applyBorder="1" applyProtection="1"/>
    <xf numFmtId="20" fontId="0" fillId="0" borderId="0" xfId="0" applyNumberFormat="1"/>
    <xf numFmtId="0" fontId="8" fillId="0" borderId="10" xfId="0" applyFont="1" applyFill="1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8" fillId="0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30"/>
  <sheetViews>
    <sheetView workbookViewId="0">
      <selection activeCell="G8" sqref="G8"/>
    </sheetView>
  </sheetViews>
  <sheetFormatPr defaultColWidth="9.140625" defaultRowHeight="15" x14ac:dyDescent="0.25"/>
  <cols>
    <col min="1" max="1" width="18.28515625" style="1" customWidth="1"/>
    <col min="2" max="2" width="9.140625" style="1"/>
    <col min="3" max="3" width="10.5703125" style="1" customWidth="1"/>
    <col min="4" max="4" width="32.85546875" style="1" customWidth="1"/>
    <col min="5" max="5" width="6.85546875" style="1" customWidth="1"/>
    <col min="6" max="6" width="9.7109375" style="1" customWidth="1"/>
    <col min="7" max="7" width="9" style="1" customWidth="1"/>
    <col min="8" max="9" width="10.42578125" style="1" customWidth="1"/>
    <col min="10" max="10" width="7.5703125" style="1" customWidth="1"/>
    <col min="11" max="11" width="18" style="1" customWidth="1"/>
    <col min="12" max="12" width="15.7109375" style="1" customWidth="1"/>
    <col min="13" max="13" width="15.42578125" style="1" customWidth="1"/>
    <col min="14" max="14" width="12.85546875" style="1" customWidth="1"/>
    <col min="15" max="16384" width="9.140625" style="1"/>
  </cols>
  <sheetData>
    <row r="1" spans="1:13" x14ac:dyDescent="0.25">
      <c r="A1" s="4" t="s">
        <v>41</v>
      </c>
    </row>
    <row r="2" spans="1:13" x14ac:dyDescent="0.25">
      <c r="A2" s="4" t="s">
        <v>62</v>
      </c>
    </row>
    <row r="3" spans="1:13" x14ac:dyDescent="0.25">
      <c r="A3" s="9" t="s">
        <v>39</v>
      </c>
    </row>
    <row r="4" spans="1:13" x14ac:dyDescent="0.25">
      <c r="A4" s="9" t="s">
        <v>40</v>
      </c>
      <c r="B4" s="2"/>
      <c r="C4" s="2"/>
      <c r="D4" s="2"/>
      <c r="E4" s="2"/>
      <c r="F4" s="2"/>
      <c r="G4" s="2"/>
      <c r="H4" s="2"/>
      <c r="I4" s="2"/>
      <c r="J4" s="2"/>
    </row>
    <row r="5" spans="1:13" x14ac:dyDescent="0.25">
      <c r="A5" s="2" t="s">
        <v>63</v>
      </c>
      <c r="B5" s="2"/>
      <c r="C5" s="2"/>
      <c r="D5" s="2"/>
      <c r="E5" s="2"/>
      <c r="F5" s="2"/>
      <c r="G5" s="2"/>
      <c r="H5" s="2"/>
      <c r="I5" s="2"/>
      <c r="J5" s="2"/>
      <c r="M5" s="10"/>
    </row>
    <row r="6" spans="1:13" ht="42" customHeight="1" x14ac:dyDescent="0.25">
      <c r="A6" s="6" t="s">
        <v>36</v>
      </c>
      <c r="B6" s="6" t="s">
        <v>38</v>
      </c>
      <c r="C6" s="6" t="s">
        <v>64</v>
      </c>
      <c r="D6" s="6" t="s">
        <v>30</v>
      </c>
      <c r="E6" s="6" t="s">
        <v>33</v>
      </c>
      <c r="F6" s="6" t="s">
        <v>17</v>
      </c>
      <c r="G6" s="6" t="s">
        <v>35</v>
      </c>
      <c r="H6" s="6" t="s">
        <v>34</v>
      </c>
      <c r="I6" s="6" t="s">
        <v>42</v>
      </c>
      <c r="J6" s="6" t="s">
        <v>37</v>
      </c>
      <c r="K6" s="6" t="s">
        <v>96</v>
      </c>
    </row>
    <row r="7" spans="1:13" x14ac:dyDescent="0.25">
      <c r="A7" s="26" t="s">
        <v>90</v>
      </c>
      <c r="B7" s="26">
        <v>0</v>
      </c>
      <c r="C7" s="3">
        <v>0</v>
      </c>
      <c r="D7" s="26" t="s">
        <v>55</v>
      </c>
      <c r="E7" s="7">
        <f>VLOOKUP(D7,[0]!RadType_LU,2)*B7</f>
        <v>0</v>
      </c>
      <c r="F7" s="27" t="s">
        <v>9</v>
      </c>
      <c r="G7" s="26">
        <v>36</v>
      </c>
      <c r="H7" s="8">
        <f>E7+(VLOOKUP(F7,'Tables (Gill &amp; Pajek)'!E$4:F$15,2)*G7)</f>
        <v>0.82799999999999996</v>
      </c>
      <c r="I7" s="51">
        <v>1</v>
      </c>
      <c r="J7" s="7">
        <f>H7/I7</f>
        <v>0.82799999999999996</v>
      </c>
      <c r="K7" s="53" t="str">
        <f>'Recommendations Gorton'!H3</f>
        <v>#D (#1 if Main Vent)</v>
      </c>
    </row>
    <row r="8" spans="1:13" x14ac:dyDescent="0.25">
      <c r="A8" s="26" t="s">
        <v>91</v>
      </c>
      <c r="B8" s="26">
        <v>0</v>
      </c>
      <c r="C8" s="3">
        <v>0</v>
      </c>
      <c r="D8" s="26" t="s">
        <v>55</v>
      </c>
      <c r="E8" s="7">
        <f>VLOOKUP(D8,'Tables (Gill &amp; Pajek)'!B$4:C$13,2)*B8</f>
        <v>0</v>
      </c>
      <c r="F8" s="27" t="s">
        <v>9</v>
      </c>
      <c r="G8" s="26">
        <v>30</v>
      </c>
      <c r="H8" s="8">
        <f>E8+(VLOOKUP(F8,'Tables (Gill &amp; Pajek)'!E$4:F$15,2)*G8)</f>
        <v>0.69</v>
      </c>
      <c r="I8" s="51">
        <v>1</v>
      </c>
      <c r="J8" s="7">
        <f t="shared" ref="J8:J22" si="0">H8/I8</f>
        <v>0.69</v>
      </c>
      <c r="K8" s="53" t="str">
        <f>'Recommendations Gorton'!H4</f>
        <v>#D (#1 if Main Vent)</v>
      </c>
    </row>
    <row r="9" spans="1:13" x14ac:dyDescent="0.25">
      <c r="A9" s="26" t="s">
        <v>99</v>
      </c>
      <c r="B9" s="26">
        <v>60</v>
      </c>
      <c r="C9" s="3">
        <f t="shared" ref="C9:C22" si="1">B9*240</f>
        <v>14400</v>
      </c>
      <c r="D9" s="26" t="s">
        <v>24</v>
      </c>
      <c r="E9" s="7">
        <f>VLOOKUP(D9,'Tables (Gill &amp; Pajek)'!B$4:C$13,2)*B9</f>
        <v>0.77999999999999992</v>
      </c>
      <c r="F9" s="27" t="s">
        <v>7</v>
      </c>
      <c r="G9" s="26">
        <v>2</v>
      </c>
      <c r="H9" s="8">
        <f>E9+(VLOOKUP(F9,'Tables (Gill &amp; Pajek)'!E$4:F$15,2)*G9)</f>
        <v>0.80799999999999994</v>
      </c>
      <c r="I9" s="51">
        <v>3</v>
      </c>
      <c r="J9" s="7">
        <f t="shared" si="0"/>
        <v>0.26933333333333331</v>
      </c>
      <c r="K9" s="53" t="str">
        <f>'Recommendations Gorton'!H5</f>
        <v>#C</v>
      </c>
    </row>
    <row r="10" spans="1:13" x14ac:dyDescent="0.25">
      <c r="A10" s="26" t="s">
        <v>97</v>
      </c>
      <c r="B10" s="26">
        <v>36</v>
      </c>
      <c r="C10" s="3">
        <f t="shared" si="1"/>
        <v>8640</v>
      </c>
      <c r="D10" s="26" t="s">
        <v>23</v>
      </c>
      <c r="E10" s="7">
        <f>VLOOKUP(D10,'Tables (Gill &amp; Pajek)'!B$4:C$13,2)*B10</f>
        <v>0.36</v>
      </c>
      <c r="F10" s="27" t="s">
        <v>7</v>
      </c>
      <c r="G10" s="26">
        <v>2</v>
      </c>
      <c r="H10" s="8">
        <f>E10+(VLOOKUP(F10,'Tables (Gill &amp; Pajek)'!E$4:F$15,2)*G10)</f>
        <v>0.38800000000000001</v>
      </c>
      <c r="I10" s="51">
        <v>3</v>
      </c>
      <c r="J10" s="7">
        <f t="shared" si="0"/>
        <v>0.12933333333333333</v>
      </c>
      <c r="K10" s="53" t="str">
        <f>'Recommendations Gorton'!H6</f>
        <v>#6</v>
      </c>
    </row>
    <row r="11" spans="1:13" x14ac:dyDescent="0.25">
      <c r="A11" s="26" t="s">
        <v>98</v>
      </c>
      <c r="B11" s="26">
        <v>56</v>
      </c>
      <c r="C11" s="3">
        <f t="shared" si="1"/>
        <v>13440</v>
      </c>
      <c r="D11" s="26" t="s">
        <v>24</v>
      </c>
      <c r="E11" s="7">
        <f>VLOOKUP(D11,'Tables (Gill &amp; Pajek)'!B$4:C$13,2)*B11</f>
        <v>0.72799999999999998</v>
      </c>
      <c r="F11" s="27" t="s">
        <v>7</v>
      </c>
      <c r="G11" s="26">
        <v>2</v>
      </c>
      <c r="H11" s="8">
        <f>E11+(VLOOKUP(F11,'Tables (Gill &amp; Pajek)'!E$4:F$15,2)*G11)</f>
        <v>0.75600000000000001</v>
      </c>
      <c r="I11" s="51">
        <v>3</v>
      </c>
      <c r="J11" s="7">
        <f t="shared" si="0"/>
        <v>0.252</v>
      </c>
      <c r="K11" s="53" t="str">
        <f>'Recommendations Gorton'!H7</f>
        <v>#C</v>
      </c>
    </row>
    <row r="12" spans="1:13" x14ac:dyDescent="0.25">
      <c r="A12" s="26" t="s">
        <v>100</v>
      </c>
      <c r="B12" s="26">
        <v>56</v>
      </c>
      <c r="C12" s="3">
        <f t="shared" si="1"/>
        <v>13440</v>
      </c>
      <c r="D12" s="26" t="s">
        <v>24</v>
      </c>
      <c r="E12" s="7">
        <f>VLOOKUP(D12,'Tables (Gill &amp; Pajek)'!B$4:C$13,2)*B12</f>
        <v>0.72799999999999998</v>
      </c>
      <c r="F12" s="27" t="s">
        <v>7</v>
      </c>
      <c r="G12" s="26">
        <v>2</v>
      </c>
      <c r="H12" s="8">
        <f>E12+(VLOOKUP(F12,'Tables (Gill &amp; Pajek)'!E$4:F$15,2)*G12)</f>
        <v>0.75600000000000001</v>
      </c>
      <c r="I12" s="51">
        <v>3</v>
      </c>
      <c r="J12" s="7">
        <f t="shared" si="0"/>
        <v>0.252</v>
      </c>
      <c r="K12" s="53" t="str">
        <f>'Recommendations Gorton'!H8</f>
        <v>#C</v>
      </c>
    </row>
    <row r="13" spans="1:13" x14ac:dyDescent="0.25">
      <c r="A13" s="26" t="s">
        <v>101</v>
      </c>
      <c r="B13" s="26">
        <v>13</v>
      </c>
      <c r="C13" s="3">
        <f t="shared" si="1"/>
        <v>3120</v>
      </c>
      <c r="D13" s="26" t="s">
        <v>26</v>
      </c>
      <c r="E13" s="7">
        <f>VLOOKUP(D13,'Tables (Gill &amp; Pajek)'!B$4:C$13,2)*B13</f>
        <v>0.13</v>
      </c>
      <c r="F13" s="27" t="s">
        <v>95</v>
      </c>
      <c r="G13" s="26">
        <v>3</v>
      </c>
      <c r="H13" s="8">
        <f>E13+(VLOOKUP(F13,'Tables (Gill &amp; Pajek)'!E$4:F$15,2)*G13)</f>
        <v>0.14500000000000002</v>
      </c>
      <c r="I13" s="51">
        <v>3</v>
      </c>
      <c r="J13" s="7">
        <f t="shared" si="0"/>
        <v>4.8333333333333339E-2</v>
      </c>
      <c r="K13" s="53" t="str">
        <f>'Recommendations Gorton'!H9</f>
        <v>#5</v>
      </c>
    </row>
    <row r="14" spans="1:13" x14ac:dyDescent="0.25">
      <c r="A14" s="26" t="s">
        <v>102</v>
      </c>
      <c r="B14" s="26">
        <v>28</v>
      </c>
      <c r="C14" s="3">
        <f t="shared" si="1"/>
        <v>6720</v>
      </c>
      <c r="D14" s="26" t="s">
        <v>23</v>
      </c>
      <c r="E14" s="7">
        <f>VLOOKUP(D14,'Tables (Gill &amp; Pajek)'!B$4:C$13,2)*B14</f>
        <v>0.28000000000000003</v>
      </c>
      <c r="F14" s="27" t="s">
        <v>7</v>
      </c>
      <c r="G14" s="26">
        <v>11</v>
      </c>
      <c r="H14" s="8">
        <f>E14+(VLOOKUP(F14,'Tables (Gill &amp; Pajek)'!E$4:F$15,2)*G14)</f>
        <v>0.43400000000000005</v>
      </c>
      <c r="I14" s="51">
        <v>3</v>
      </c>
      <c r="J14" s="7">
        <f t="shared" si="0"/>
        <v>0.14466666666666669</v>
      </c>
      <c r="K14" s="53" t="str">
        <f>'Recommendations Gorton'!H10</f>
        <v>#6</v>
      </c>
    </row>
    <row r="15" spans="1:13" x14ac:dyDescent="0.25">
      <c r="A15" s="26" t="s">
        <v>103</v>
      </c>
      <c r="B15" s="26">
        <v>32</v>
      </c>
      <c r="C15" s="3">
        <f t="shared" si="1"/>
        <v>7680</v>
      </c>
      <c r="D15" s="26" t="s">
        <v>23</v>
      </c>
      <c r="E15" s="7">
        <f>VLOOKUP(D15,'Tables (Gill &amp; Pajek)'!B$4:C$13,2)*B15</f>
        <v>0.32</v>
      </c>
      <c r="F15" s="27" t="s">
        <v>7</v>
      </c>
      <c r="G15" s="26">
        <v>11</v>
      </c>
      <c r="H15" s="8">
        <f>E15+(VLOOKUP(F15,'Tables (Gill &amp; Pajek)'!E$4:F$15,2)*G15)</f>
        <v>0.47399999999999998</v>
      </c>
      <c r="I15" s="51">
        <v>3</v>
      </c>
      <c r="J15" s="7">
        <f t="shared" si="0"/>
        <v>0.158</v>
      </c>
      <c r="K15" s="53" t="str">
        <f>'Recommendations Gorton'!H11</f>
        <v>#C</v>
      </c>
    </row>
    <row r="16" spans="1:13" x14ac:dyDescent="0.25">
      <c r="A16" s="26" t="s">
        <v>104</v>
      </c>
      <c r="B16" s="26">
        <v>28</v>
      </c>
      <c r="C16" s="3">
        <f t="shared" si="1"/>
        <v>6720</v>
      </c>
      <c r="D16" s="26" t="s">
        <v>23</v>
      </c>
      <c r="E16" s="7">
        <f>VLOOKUP(D16,'Tables (Gill &amp; Pajek)'!B$4:C$13,2)*B16</f>
        <v>0.28000000000000003</v>
      </c>
      <c r="F16" s="27" t="s">
        <v>7</v>
      </c>
      <c r="G16" s="26">
        <v>15</v>
      </c>
      <c r="H16" s="8">
        <f>E16+(VLOOKUP(F16,'Tables (Gill &amp; Pajek)'!E$4:F$15,2)*G16)</f>
        <v>0.49</v>
      </c>
      <c r="I16" s="51">
        <v>3</v>
      </c>
      <c r="J16" s="7">
        <f t="shared" si="0"/>
        <v>0.16333333333333333</v>
      </c>
      <c r="K16" s="53" t="str">
        <f>'Recommendations Gorton'!H12</f>
        <v>#C</v>
      </c>
    </row>
    <row r="17" spans="1:11" x14ac:dyDescent="0.25">
      <c r="A17" s="26" t="s">
        <v>105</v>
      </c>
      <c r="B17" s="26">
        <v>26</v>
      </c>
      <c r="C17" s="3">
        <f t="shared" si="1"/>
        <v>6240</v>
      </c>
      <c r="D17" s="26" t="s">
        <v>23</v>
      </c>
      <c r="E17" s="7">
        <f>VLOOKUP(D17,'Tables (Gill &amp; Pajek)'!B$4:C$13,2)*B17</f>
        <v>0.26</v>
      </c>
      <c r="F17" s="27" t="s">
        <v>7</v>
      </c>
      <c r="G17" s="26">
        <v>11</v>
      </c>
      <c r="H17" s="8">
        <f>E17+(VLOOKUP(F17,'Tables (Gill &amp; Pajek)'!E$4:F$15,2)*G17)</f>
        <v>0.41400000000000003</v>
      </c>
      <c r="I17" s="51">
        <v>3</v>
      </c>
      <c r="J17" s="7">
        <f t="shared" si="0"/>
        <v>0.13800000000000001</v>
      </c>
      <c r="K17" s="53" t="str">
        <f>'Recommendations Gorton'!H13</f>
        <v>#6</v>
      </c>
    </row>
    <row r="18" spans="1:11" x14ac:dyDescent="0.25">
      <c r="A18" s="26" t="s">
        <v>106</v>
      </c>
      <c r="B18" s="26">
        <v>14</v>
      </c>
      <c r="C18" s="3">
        <f t="shared" si="1"/>
        <v>3360</v>
      </c>
      <c r="D18" s="26" t="s">
        <v>26</v>
      </c>
      <c r="E18" s="7">
        <f>VLOOKUP(D18,'Tables (Gill &amp; Pajek)'!B$4:C$13,2)*B18</f>
        <v>0.14000000000000001</v>
      </c>
      <c r="F18" s="27" t="s">
        <v>7</v>
      </c>
      <c r="G18" s="26">
        <v>12</v>
      </c>
      <c r="H18" s="8">
        <f>E18+(VLOOKUP(F18,'Tables (Gill &amp; Pajek)'!E$4:F$15,2)*G18)</f>
        <v>0.30800000000000005</v>
      </c>
      <c r="I18" s="51">
        <v>3</v>
      </c>
      <c r="J18" s="7">
        <f t="shared" si="0"/>
        <v>0.10266666666666668</v>
      </c>
      <c r="K18" s="53" t="str">
        <f>'Recommendations Gorton'!H14</f>
        <v>#6</v>
      </c>
    </row>
    <row r="19" spans="1:11" x14ac:dyDescent="0.25">
      <c r="A19" s="26" t="s">
        <v>107</v>
      </c>
      <c r="B19" s="26">
        <v>0</v>
      </c>
      <c r="C19" s="3">
        <f t="shared" si="1"/>
        <v>0</v>
      </c>
      <c r="D19" s="26" t="s">
        <v>24</v>
      </c>
      <c r="E19" s="7">
        <f>VLOOKUP(D19,'Tables (Gill &amp; Pajek)'!B$4:C$13,2)*B19</f>
        <v>0</v>
      </c>
      <c r="F19" s="27" t="s">
        <v>95</v>
      </c>
      <c r="G19" s="26">
        <v>1</v>
      </c>
      <c r="H19" s="8">
        <f>E19+(VLOOKUP(F19,'Tables (Gill &amp; Pajek)'!E$4:F$15,2)*G19)</f>
        <v>5.0000000000000001E-3</v>
      </c>
      <c r="I19" s="51">
        <v>1</v>
      </c>
      <c r="J19" s="7">
        <f t="shared" si="0"/>
        <v>5.0000000000000001E-3</v>
      </c>
      <c r="K19" s="53" t="str">
        <f>'Recommendations Gorton'!H15</f>
        <v>#4</v>
      </c>
    </row>
    <row r="20" spans="1:11" x14ac:dyDescent="0.25">
      <c r="A20" s="26" t="s">
        <v>107</v>
      </c>
      <c r="B20" s="26">
        <v>0</v>
      </c>
      <c r="C20" s="3">
        <f t="shared" si="1"/>
        <v>0</v>
      </c>
      <c r="D20" s="26" t="s">
        <v>24</v>
      </c>
      <c r="E20" s="7">
        <f>VLOOKUP(D20,'Tables (Gill &amp; Pajek)'!B$4:C$13,2)*B20</f>
        <v>0</v>
      </c>
      <c r="F20" s="27" t="s">
        <v>95</v>
      </c>
      <c r="G20" s="26">
        <v>1</v>
      </c>
      <c r="H20" s="8">
        <f>E20+(VLOOKUP(F20,'Tables (Gill &amp; Pajek)'!E$4:F$15,2)*G20)</f>
        <v>5.0000000000000001E-3</v>
      </c>
      <c r="I20" s="51">
        <v>1</v>
      </c>
      <c r="J20" s="7">
        <f t="shared" si="0"/>
        <v>5.0000000000000001E-3</v>
      </c>
      <c r="K20" s="53" t="str">
        <f>'Recommendations Gorton'!H16</f>
        <v>#4</v>
      </c>
    </row>
    <row r="21" spans="1:11" x14ac:dyDescent="0.25">
      <c r="A21" s="26" t="s">
        <v>107</v>
      </c>
      <c r="B21" s="26">
        <v>0</v>
      </c>
      <c r="C21" s="3">
        <f t="shared" si="1"/>
        <v>0</v>
      </c>
      <c r="D21" s="26" t="s">
        <v>26</v>
      </c>
      <c r="E21" s="7">
        <f>VLOOKUP(D21,'Tables (Gill &amp; Pajek)'!B$4:C$13,2)*B21</f>
        <v>0</v>
      </c>
      <c r="F21" s="27" t="s">
        <v>95</v>
      </c>
      <c r="G21" s="26">
        <v>1</v>
      </c>
      <c r="H21" s="8">
        <f>E21+(VLOOKUP(F21,'Tables (Gill &amp; Pajek)'!E$4:F$15,2)*G21)</f>
        <v>5.0000000000000001E-3</v>
      </c>
      <c r="I21" s="51">
        <v>1</v>
      </c>
      <c r="J21" s="7">
        <f t="shared" si="0"/>
        <v>5.0000000000000001E-3</v>
      </c>
      <c r="K21" s="53" t="str">
        <f>'Recommendations Gorton'!H17</f>
        <v>#4</v>
      </c>
    </row>
    <row r="22" spans="1:11" x14ac:dyDescent="0.25">
      <c r="A22" s="26" t="s">
        <v>107</v>
      </c>
      <c r="B22" s="26">
        <v>0</v>
      </c>
      <c r="C22" s="3">
        <f t="shared" si="1"/>
        <v>0</v>
      </c>
      <c r="D22" s="26" t="s">
        <v>26</v>
      </c>
      <c r="E22" s="7">
        <f>VLOOKUP(D22,'Tables (Gill &amp; Pajek)'!B$4:C$13,2)*B22</f>
        <v>0</v>
      </c>
      <c r="F22" s="27" t="s">
        <v>95</v>
      </c>
      <c r="G22" s="26">
        <v>1</v>
      </c>
      <c r="H22" s="8">
        <f>E22+(VLOOKUP(F22,'Tables (Gill &amp; Pajek)'!E$4:F$15,2)*G22)</f>
        <v>5.0000000000000001E-3</v>
      </c>
      <c r="I22" s="51">
        <v>1</v>
      </c>
      <c r="J22" s="7">
        <f t="shared" si="0"/>
        <v>5.0000000000000001E-3</v>
      </c>
      <c r="K22" s="54" t="str">
        <f>'Recommendations Gorton'!H18</f>
        <v>#4</v>
      </c>
    </row>
    <row r="23" spans="1:11" ht="15.75" thickBot="1" x14ac:dyDescent="0.3">
      <c r="A23" s="4" t="s">
        <v>5</v>
      </c>
      <c r="B23" s="4">
        <f>SUM(B9:B22)</f>
        <v>349</v>
      </c>
      <c r="C23" s="4">
        <f>SUM(C9:C22)</f>
        <v>83760</v>
      </c>
      <c r="D23" s="2"/>
      <c r="E23" s="2"/>
      <c r="F23" s="2"/>
      <c r="G23" s="2"/>
      <c r="H23" s="12"/>
      <c r="I23" s="2"/>
      <c r="J23" s="22">
        <f>SUM(J7:J22)</f>
        <v>3.195666666666666</v>
      </c>
      <c r="K23" s="2"/>
    </row>
    <row r="24" spans="1:11" x14ac:dyDescent="0.25">
      <c r="A24" s="2"/>
      <c r="B24" s="2"/>
      <c r="C24" s="2"/>
      <c r="D24" s="55" t="s">
        <v>93</v>
      </c>
      <c r="E24" s="56" t="s">
        <v>94</v>
      </c>
      <c r="F24" s="2"/>
      <c r="G24" s="2"/>
      <c r="H24" s="2"/>
      <c r="I24" s="2"/>
      <c r="J24" s="2"/>
      <c r="K24" s="2"/>
    </row>
    <row r="25" spans="1:11" x14ac:dyDescent="0.25">
      <c r="A25" s="2"/>
      <c r="B25" s="2"/>
      <c r="C25" s="2"/>
      <c r="D25" s="57" t="s">
        <v>2</v>
      </c>
      <c r="E25" s="58">
        <f>'Recommendations Gorton'!I24</f>
        <v>4</v>
      </c>
      <c r="F25" s="2"/>
      <c r="G25" s="2"/>
      <c r="H25" s="2"/>
      <c r="I25" s="2"/>
      <c r="J25" s="2"/>
      <c r="K25" s="2"/>
    </row>
    <row r="26" spans="1:11" x14ac:dyDescent="0.25">
      <c r="A26" s="2"/>
      <c r="B26" s="2"/>
      <c r="C26" s="2"/>
      <c r="D26" s="57" t="s">
        <v>3</v>
      </c>
      <c r="E26" s="58">
        <f>'Recommendations Gorton'!I25</f>
        <v>1</v>
      </c>
      <c r="F26" s="2"/>
      <c r="G26" s="2"/>
      <c r="H26" s="2"/>
      <c r="I26" s="2"/>
      <c r="J26" s="2"/>
      <c r="K26" s="2"/>
    </row>
    <row r="27" spans="1:11" x14ac:dyDescent="0.25">
      <c r="A27" s="2"/>
      <c r="B27" s="2"/>
      <c r="C27" s="2"/>
      <c r="D27" s="57" t="s">
        <v>4</v>
      </c>
      <c r="E27" s="58">
        <f>'Recommendations Gorton'!I26</f>
        <v>4</v>
      </c>
      <c r="F27" s="2"/>
      <c r="G27" s="2"/>
      <c r="H27" s="2"/>
      <c r="I27" s="2"/>
      <c r="J27" s="2"/>
      <c r="K27" s="2"/>
    </row>
    <row r="28" spans="1:11" x14ac:dyDescent="0.25">
      <c r="A28" s="2"/>
      <c r="B28" s="2"/>
      <c r="C28" s="2"/>
      <c r="D28" s="57" t="s">
        <v>6</v>
      </c>
      <c r="E28" s="58">
        <f>'Recommendations Gorton'!I27</f>
        <v>5</v>
      </c>
      <c r="F28" s="2"/>
      <c r="G28" s="2"/>
      <c r="H28" s="2"/>
      <c r="I28" s="2"/>
      <c r="J28" s="2"/>
      <c r="K28" s="2"/>
    </row>
    <row r="29" spans="1:11" x14ac:dyDescent="0.25">
      <c r="A29" s="2"/>
      <c r="B29" s="2"/>
      <c r="C29" s="2"/>
      <c r="D29" s="57" t="s">
        <v>31</v>
      </c>
      <c r="E29" s="58">
        <f>'Recommendations Gorton'!I28</f>
        <v>2</v>
      </c>
      <c r="F29" s="2"/>
      <c r="G29" s="2"/>
      <c r="H29" s="2"/>
      <c r="I29" s="2"/>
      <c r="J29" s="2"/>
      <c r="K29" s="2"/>
    </row>
    <row r="30" spans="1:11" ht="15.75" thickBot="1" x14ac:dyDescent="0.3">
      <c r="A30" s="2"/>
      <c r="B30" s="2"/>
      <c r="C30" s="2"/>
      <c r="D30" s="60" t="s">
        <v>92</v>
      </c>
      <c r="E30" s="61"/>
      <c r="F30" s="2"/>
      <c r="G30" s="2"/>
      <c r="H30" s="2"/>
      <c r="I30" s="2"/>
      <c r="J30" s="2"/>
      <c r="K30" s="2"/>
    </row>
  </sheetData>
  <sheetProtection password="DD49" sheet="1" objects="1" scenarios="1" selectLockedCells="1"/>
  <sortState ref="H19:J24">
    <sortCondition ref="H19:H24"/>
  </sortState>
  <mergeCells count="1">
    <mergeCell ref="D30:E30"/>
  </mergeCells>
  <dataValidations count="2">
    <dataValidation type="list" allowBlank="1" showInputMessage="1" showErrorMessage="1" sqref="F7:F22">
      <formula1>Pipe_Size</formula1>
    </dataValidation>
    <dataValidation type="list" allowBlank="1" showInputMessage="1" showErrorMessage="1" sqref="D7:D22">
      <formula1>RadType</formula1>
    </dataValidation>
  </dataValidations>
  <pageMargins left="0.7" right="0.7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workbookViewId="0">
      <selection activeCell="F10" sqref="F10"/>
    </sheetView>
  </sheetViews>
  <sheetFormatPr defaultRowHeight="12" customHeight="1" x14ac:dyDescent="0.25"/>
  <cols>
    <col min="1" max="1" width="18.7109375" customWidth="1"/>
    <col min="3" max="3" width="6.42578125" customWidth="1"/>
    <col min="4" max="4" width="5.140625" customWidth="1"/>
    <col min="5" max="5" width="4.42578125" customWidth="1"/>
    <col min="6" max="6" width="16.5703125" customWidth="1"/>
    <col min="7" max="7" width="11.5703125" customWidth="1"/>
    <col min="8" max="8" width="20.85546875" customWidth="1"/>
    <col min="9" max="9" width="6.7109375" customWidth="1"/>
    <col min="10" max="10" width="20.7109375" customWidth="1"/>
    <col min="11" max="11" width="6.42578125" customWidth="1"/>
    <col min="12" max="12" width="20.7109375" customWidth="1"/>
    <col min="13" max="13" width="6.42578125" customWidth="1"/>
  </cols>
  <sheetData>
    <row r="1" spans="1:13" ht="12" customHeight="1" x14ac:dyDescent="0.25">
      <c r="A1" s="2"/>
      <c r="B1" s="2"/>
      <c r="C1" s="2"/>
    </row>
    <row r="2" spans="1:13" ht="12" customHeight="1" x14ac:dyDescent="0.25">
      <c r="A2" s="47" t="s">
        <v>61</v>
      </c>
      <c r="B2" s="2"/>
      <c r="C2" s="2"/>
      <c r="D2" s="2"/>
      <c r="E2" s="2"/>
      <c r="F2" s="35" t="s">
        <v>56</v>
      </c>
      <c r="G2" s="35" t="s">
        <v>37</v>
      </c>
      <c r="H2" s="35" t="s">
        <v>47</v>
      </c>
      <c r="I2" s="35" t="s">
        <v>80</v>
      </c>
      <c r="J2" s="35" t="s">
        <v>48</v>
      </c>
      <c r="K2" s="35" t="s">
        <v>80</v>
      </c>
      <c r="L2" s="35" t="s">
        <v>49</v>
      </c>
      <c r="M2" s="36" t="s">
        <v>80</v>
      </c>
    </row>
    <row r="3" spans="1:13" ht="12" customHeight="1" x14ac:dyDescent="0.25">
      <c r="A3" s="48" t="s">
        <v>43</v>
      </c>
      <c r="B3" s="2"/>
      <c r="C3" s="2"/>
      <c r="D3" s="2"/>
      <c r="E3" s="2"/>
      <c r="F3" s="37" t="str">
        <f>Worksheet!A7</f>
        <v>MAIN 1</v>
      </c>
      <c r="G3" s="38">
        <f>Worksheet!J7</f>
        <v>0.82799999999999996</v>
      </c>
      <c r="H3" s="15" t="str">
        <f>IF(Worksheet!$J7=0,NA(),IF(VLOOKUP(Worksheet!$D7,[0]!RadType_LU,2)&gt;0,VLOOKUP(Worksheet!$J7,[0]!CFM_Vent_Lookup_1oz,2,TRUE),CONCATENATE(FLOOR(Worksheet!$J7/'Tables (Gill &amp; Pajek)'!$G$28,1),"pcs #2s &amp; ",CEILING(MOD(Worksheet!$J7,'Tables (Gill &amp; Pajek)'!$G$28)/'Tables (Gill &amp; Pajek)'!$F$28,1),"pcs #1s")))</f>
        <v>#D (#1 if Main Vent)</v>
      </c>
      <c r="I3" s="18">
        <f>IF(Worksheet!$J7=0,0,IF(VLOOKUP(Worksheet!$D7,[0]!RadType_LU,2)&gt;0,VLOOKUP(H3,[0]!Gorton_Caps,2,TRUE),FLOOR(Worksheet!$J7/'Tables (Gill &amp; Pajek)'!$G$28,1)*'Tables (Gill &amp; Pajek)'!$I$5+CEILING(MOD(Worksheet!$J7,'Tables (Gill &amp; Pajek)'!$G$28)/'Tables (Gill &amp; Pajek)'!$F$28,1)*'Tables (Gill &amp; Pajek)'!$I$4))</f>
        <v>0.33</v>
      </c>
      <c r="J3" s="15" t="str">
        <f>IF(Worksheet!$J7=0,NA(),IF(VLOOKUP(Worksheet!$D7,[0]!RadType_LU,2)&gt;0,VLOOKUP(Worksheet!$J7,[0]!CFM_Vent_Lookup_2oz,2,TRUE),CONCATENATE(FLOOR(Worksheet!$J7/'Tables (Gill &amp; Pajek)'!$G$29,1),"pcs #2s &amp; ",CEILING(MOD(Worksheet!$J7,'Tables (Gill &amp; Pajek)'!$G$29)/'Tables (Gill &amp; Pajek)'!$F$29,1),"pcs #1s")))</f>
        <v>#D (#1 if Main Vent)</v>
      </c>
      <c r="K3" s="18">
        <f>IF(Worksheet!$J7=0,0,IF(VLOOKUP(Worksheet!$D7,[0]!RadType_LU,2)&gt;0,VLOOKUP(J3,[0]!Gorton_Caps,3,TRUE),FLOOR(Worksheet!$J7/'Tables (Gill &amp; Pajek)'!$G$29,1)*'Tables (Gill &amp; Pajek)'!$J$5+CEILING(MOD(Worksheet!$J7,'Tables (Gill &amp; Pajek)'!$G$29)/'Tables (Gill &amp; Pajek)'!$F$29,1)*'Tables (Gill &amp; Pajek)'!$J$4))</f>
        <v>0.54</v>
      </c>
      <c r="L3" s="15" t="str">
        <f>IF(Worksheet!$J7=0,NA(),IF(VLOOKUP(Worksheet!$D7,[0]!RadType_LU,2)&gt;0,VLOOKUP(Worksheet!$J7,[0]!CFM_Vent_Lookup_3oz,2,TRUE),CONCATENATE(FLOOR(Worksheet!$J7/'Tables (Gill &amp; Pajek)'!$G$30,1),"pcs #2s &amp; ",CEILING(MOD(Worksheet!$J7,'Tables (Gill &amp; Pajek)'!$G$30)/'Tables (Gill &amp; Pajek)'!$F$30,1),"pcs #1s")))</f>
        <v>#D (#1 if Main Vent)</v>
      </c>
      <c r="M3" s="18">
        <f>IF(Worksheet!$J7=0,0,IF(VLOOKUP(Worksheet!$D7,[0]!RadType_LU,2)&gt;0,VLOOKUP(L3,[0]!Gorton_Caps,4,TRUE),FLOOR(Worksheet!$J7/'Tables (Gill &amp; Pajek)'!$G$30,1)*'Tables (Gill &amp; Pajek)'!$K$5+CEILING(MOD(Worksheet!$J7,'Tables (Gill &amp; Pajek)'!$G$30)/'Tables (Gill &amp; Pajek)'!$F$30,1)*'Tables (Gill &amp; Pajek)'!$K$4))</f>
        <v>0.7</v>
      </c>
    </row>
    <row r="4" spans="1:13" ht="12" customHeight="1" x14ac:dyDescent="0.25">
      <c r="A4" s="48" t="s">
        <v>44</v>
      </c>
      <c r="B4" s="2"/>
      <c r="C4" s="2"/>
      <c r="D4" s="2"/>
      <c r="E4" s="2"/>
      <c r="F4" s="35" t="str">
        <f>Worksheet!A8</f>
        <v>MAIN 2</v>
      </c>
      <c r="G4" s="39">
        <f>Worksheet!J8</f>
        <v>0.69</v>
      </c>
      <c r="H4" s="16" t="str">
        <f>IF(Worksheet!$J8=0,NA(),IF(VLOOKUP(Worksheet!$D8,[0]!RadType_LU,2)&gt;0,VLOOKUP(Worksheet!$J8,[0]!CFM_Vent_Lookup_1oz,2,TRUE),CONCATENATE(FLOOR(Worksheet!$J8/'Tables (Gill &amp; Pajek)'!$G$28,1),"pcs #2s &amp; ",CEILING(MOD(Worksheet!$J8,'Tables (Gill &amp; Pajek)'!$G$28)/'Tables (Gill &amp; Pajek)'!$F$28,1),"pcs #1s")))</f>
        <v>#D (#1 if Main Vent)</v>
      </c>
      <c r="I4" s="21">
        <f>IF(Worksheet!$J8=0,0,IF(VLOOKUP(Worksheet!$D8,[0]!RadType_LU,2)&gt;0,VLOOKUP(H4,[0]!Gorton_Caps,2,TRUE),FLOOR(Worksheet!$J8/'Tables (Gill &amp; Pajek)'!$G$28,1)*'Tables (Gill &amp; Pajek)'!$I$5+CEILING(MOD(Worksheet!$J8,'Tables (Gill &amp; Pajek)'!$G$28)/'Tables (Gill &amp; Pajek)'!$F$28,1)*'Tables (Gill &amp; Pajek)'!$I$4))</f>
        <v>0.33</v>
      </c>
      <c r="J4" s="16" t="str">
        <f>IF(Worksheet!$J8=0,NA(),IF(VLOOKUP(Worksheet!$D8,[0]!RadType_LU,2)&gt;0,VLOOKUP(Worksheet!$J8,[0]!CFM_Vent_Lookup_2oz,2,TRUE),CONCATENATE(FLOOR(Worksheet!$J8/'Tables (Gill &amp; Pajek)'!$G$29,1),"pcs #2s &amp; ",CEILING(MOD(Worksheet!$J8,'Tables (Gill &amp; Pajek)'!$G$29)/'Tables (Gill &amp; Pajek)'!$F$29,1),"pcs #1s")))</f>
        <v>#D (#1 if Main Vent)</v>
      </c>
      <c r="K4" s="21">
        <f>IF(Worksheet!$J8=0,0,IF(VLOOKUP(Worksheet!$D8,[0]!RadType_LU,2)&gt;0,VLOOKUP(J4,[0]!Gorton_Caps,3,TRUE),FLOOR(Worksheet!$J8/'Tables (Gill &amp; Pajek)'!$G$29,1)*'Tables (Gill &amp; Pajek)'!$J$5+CEILING(MOD(Worksheet!$J8,'Tables (Gill &amp; Pajek)'!$G$29)/'Tables (Gill &amp; Pajek)'!$F$29,1)*'Tables (Gill &amp; Pajek)'!$J$4))</f>
        <v>0.54</v>
      </c>
      <c r="L4" s="16" t="str">
        <f>IF(Worksheet!$J8=0,NA(),IF(VLOOKUP(Worksheet!$D8,[0]!RadType_LU,2)&gt;0,VLOOKUP(Worksheet!$J8,[0]!CFM_Vent_Lookup_3oz,2,TRUE),CONCATENATE(FLOOR(Worksheet!$J8/'Tables (Gill &amp; Pajek)'!$G$30,1),"pcs #2s &amp; ",CEILING(MOD(Worksheet!$J8,'Tables (Gill &amp; Pajek)'!$G$30)/'Tables (Gill &amp; Pajek)'!$F$30,1),"pcs #1s")))</f>
        <v>#D (#1 if Main Vent)</v>
      </c>
      <c r="M4" s="21">
        <f>IF(Worksheet!$J8=0,0,IF(VLOOKUP(Worksheet!$D8,[0]!RadType_LU,2)&gt;0,VLOOKUP(L4,[0]!Gorton_Caps,4,TRUE),FLOOR(Worksheet!$J8/'Tables (Gill &amp; Pajek)'!$G$30,1)*'Tables (Gill &amp; Pajek)'!$K$5+CEILING(MOD(Worksheet!$J8,'Tables (Gill &amp; Pajek)'!$G$30)/'Tables (Gill &amp; Pajek)'!$F$30,1)*'Tables (Gill &amp; Pajek)'!$K$4))</f>
        <v>0.7</v>
      </c>
    </row>
    <row r="5" spans="1:13" ht="12" customHeight="1" x14ac:dyDescent="0.25">
      <c r="A5" s="48" t="s">
        <v>45</v>
      </c>
      <c r="B5" s="2"/>
      <c r="C5" s="2"/>
      <c r="D5" s="2"/>
      <c r="E5" s="2"/>
      <c r="F5" s="37" t="str">
        <f>Worksheet!A9</f>
        <v>Living</v>
      </c>
      <c r="G5" s="38">
        <f>Worksheet!J9</f>
        <v>0.26933333333333331</v>
      </c>
      <c r="H5" s="15" t="str">
        <f>IF(Worksheet!$J9=0,NA(),IF(VLOOKUP(Worksheet!$D9,[0]!RadType_LU,2)&gt;0,VLOOKUP(Worksheet!$J9,[0]!CFM_Vent_Lookup_1oz,2,TRUE),CONCATENATE(FLOOR(Worksheet!$J9/'Tables (Gill &amp; Pajek)'!$G$28,1),"pcs #2s &amp; ",CEILING(MOD(Worksheet!$J9,'Tables (Gill &amp; Pajek)'!$G$28)/'Tables (Gill &amp; Pajek)'!$F$28,1),"pcs #1s")))</f>
        <v>#C</v>
      </c>
      <c r="I5" s="18">
        <f>IF(Worksheet!$J9=0,0,IF(VLOOKUP(Worksheet!$D9,[0]!RadType_LU,2)&gt;0,VLOOKUP(H5,[0]!Gorton_Caps,2,TRUE),FLOOR(Worksheet!$J9/'Tables (Gill &amp; Pajek)'!$G$28,1)*'Tables (Gill &amp; Pajek)'!$I$5+CEILING(MOD(Worksheet!$J9,'Tables (Gill &amp; Pajek)'!$G$28)/'Tables (Gill &amp; Pajek)'!$F$28,1)*'Tables (Gill &amp; Pajek)'!$I$4))</f>
        <v>0.27</v>
      </c>
      <c r="J5" s="15" t="str">
        <f>IF(Worksheet!$J9=0,NA(),IF(VLOOKUP(Worksheet!$D9,[0]!RadType_LU,2)&gt;0,VLOOKUP(Worksheet!$J9,[0]!CFM_Vent_Lookup_2oz,2,TRUE),CONCATENATE(FLOOR(Worksheet!$J9/'Tables (Gill &amp; Pajek)'!$G$29,1),"pcs #2s &amp; ",CEILING(MOD(Worksheet!$J9,'Tables (Gill &amp; Pajek)'!$G$29)/'Tables (Gill &amp; Pajek)'!$F$29,1),"pcs #1s")))</f>
        <v>#C</v>
      </c>
      <c r="K5" s="18">
        <f>IF(Worksheet!$J9=0,0,IF(VLOOKUP(Worksheet!$D9,[0]!RadType_LU,2)&gt;0,VLOOKUP(J5,[0]!Gorton_Caps,3,TRUE),FLOOR(Worksheet!$J9/'Tables (Gill &amp; Pajek)'!$G$29,1)*'Tables (Gill &amp; Pajek)'!$J$5+CEILING(MOD(Worksheet!$J9,'Tables (Gill &amp; Pajek)'!$G$29)/'Tables (Gill &amp; Pajek)'!$F$29,1)*'Tables (Gill &amp; Pajek)'!$J$4))</f>
        <v>0.45</v>
      </c>
      <c r="L5" s="15" t="str">
        <f>IF(Worksheet!$J9=0,NA(),IF(VLOOKUP(Worksheet!$D9,[0]!RadType_LU,2)&gt;0,VLOOKUP(Worksheet!$J9,[0]!CFM_Vent_Lookup_3oz,2,TRUE),CONCATENATE(FLOOR(Worksheet!$J9/'Tables (Gill &amp; Pajek)'!$G$30,1),"pcs #2s &amp; ",CEILING(MOD(Worksheet!$J9,'Tables (Gill &amp; Pajek)'!$G$30)/'Tables (Gill &amp; Pajek)'!$F$30,1),"pcs #1s")))</f>
        <v>#6</v>
      </c>
      <c r="M5" s="18">
        <f>IF(Worksheet!$J9=0,0,IF(VLOOKUP(Worksheet!$D9,[0]!RadType_LU,2)&gt;0,VLOOKUP(L5,[0]!Gorton_Caps,4,TRUE),FLOOR(Worksheet!$J9/'Tables (Gill &amp; Pajek)'!$G$30,1)*'Tables (Gill &amp; Pajek)'!$K$5+CEILING(MOD(Worksheet!$J9,'Tables (Gill &amp; Pajek)'!$G$30)/'Tables (Gill &amp; Pajek)'!$F$30,1)*'Tables (Gill &amp; Pajek)'!$K$4))</f>
        <v>0.3</v>
      </c>
    </row>
    <row r="6" spans="1:13" ht="12" customHeight="1" x14ac:dyDescent="0.25">
      <c r="A6" s="48" t="s">
        <v>46</v>
      </c>
      <c r="B6" s="2"/>
      <c r="C6" s="2"/>
      <c r="D6" s="2"/>
      <c r="E6" s="2"/>
      <c r="F6" s="35" t="str">
        <f>Worksheet!A10</f>
        <v>Den</v>
      </c>
      <c r="G6" s="39">
        <f>Worksheet!J10</f>
        <v>0.12933333333333333</v>
      </c>
      <c r="H6" s="16" t="str">
        <f>IF(Worksheet!$J10=0,NA(),IF(VLOOKUP(Worksheet!$D10,[0]!RadType_LU,2)&gt;0,VLOOKUP(Worksheet!$J10,[0]!CFM_Vent_Lookup_1oz,2,TRUE),CONCATENATE(FLOOR(Worksheet!$J10/'Tables (Gill &amp; Pajek)'!$G$28,1),"pcs #2s &amp; ",CEILING(MOD(Worksheet!$J10,'Tables (Gill &amp; Pajek)'!$G$28)/'Tables (Gill &amp; Pajek)'!$F$28,1),"pcs #1s")))</f>
        <v>#6</v>
      </c>
      <c r="I6" s="21">
        <f>IF(Worksheet!$J10=0,0,IF(VLOOKUP(Worksheet!$D10,[0]!RadType_LU,2)&gt;0,VLOOKUP(H6,[0]!Gorton_Caps,2,TRUE),FLOOR(Worksheet!$J10/'Tables (Gill &amp; Pajek)'!$G$28,1)*'Tables (Gill &amp; Pajek)'!$I$5+CEILING(MOD(Worksheet!$J10,'Tables (Gill &amp; Pajek)'!$G$28)/'Tables (Gill &amp; Pajek)'!$F$28,1)*'Tables (Gill &amp; Pajek)'!$I$4))</f>
        <v>0.15</v>
      </c>
      <c r="J6" s="16" t="str">
        <f>IF(Worksheet!$J10=0,NA(),IF(VLOOKUP(Worksheet!$D10,[0]!RadType_LU,2)&gt;0,VLOOKUP(Worksheet!$J10,[0]!CFM_Vent_Lookup_2oz,2,TRUE),CONCATENATE(FLOOR(Worksheet!$J10/'Tables (Gill &amp; Pajek)'!$G$29,1),"pcs #2s &amp; ",CEILING(MOD(Worksheet!$J10,'Tables (Gill &amp; Pajek)'!$G$29)/'Tables (Gill &amp; Pajek)'!$F$29,1),"pcs #1s")))</f>
        <v>#5</v>
      </c>
      <c r="K6" s="21">
        <f>IF(Worksheet!$J10=0,0,IF(VLOOKUP(Worksheet!$D10,[0]!RadType_LU,2)&gt;0,VLOOKUP(J6,[0]!Gorton_Caps,3,TRUE),FLOOR(Worksheet!$J10/'Tables (Gill &amp; Pajek)'!$G$29,1)*'Tables (Gill &amp; Pajek)'!$J$5+CEILING(MOD(Worksheet!$J10,'Tables (Gill &amp; Pajek)'!$G$29)/'Tables (Gill &amp; Pajek)'!$F$29,1)*'Tables (Gill &amp; Pajek)'!$J$4))</f>
        <v>0.13</v>
      </c>
      <c r="L6" s="16" t="str">
        <f>IF(Worksheet!$J10=0,NA(),IF(VLOOKUP(Worksheet!$D10,[0]!RadType_LU,2)&gt;0,VLOOKUP(Worksheet!$J10,[0]!CFM_Vent_Lookup_3oz,2,TRUE),CONCATENATE(FLOOR(Worksheet!$J10/'Tables (Gill &amp; Pajek)'!$G$30,1),"pcs #2s &amp; ",CEILING(MOD(Worksheet!$J10,'Tables (Gill &amp; Pajek)'!$G$30)/'Tables (Gill &amp; Pajek)'!$F$30,1),"pcs #1s")))</f>
        <v>#5</v>
      </c>
      <c r="M6" s="21">
        <f>IF(Worksheet!$J10=0,0,IF(VLOOKUP(Worksheet!$D10,[0]!RadType_LU,2)&gt;0,VLOOKUP(L6,[0]!Gorton_Caps,4,TRUE),FLOOR(Worksheet!$J10/'Tables (Gill &amp; Pajek)'!$G$30,1)*'Tables (Gill &amp; Pajek)'!$K$5+CEILING(MOD(Worksheet!$J10,'Tables (Gill &amp; Pajek)'!$G$30)/'Tables (Gill &amp; Pajek)'!$F$30,1)*'Tables (Gill &amp; Pajek)'!$K$4))</f>
        <v>0.16</v>
      </c>
    </row>
    <row r="7" spans="1:13" ht="12" customHeight="1" x14ac:dyDescent="0.25">
      <c r="A7" s="48"/>
      <c r="B7" s="2"/>
      <c r="C7" s="2"/>
      <c r="D7" s="2"/>
      <c r="E7" s="2"/>
      <c r="F7" s="37" t="str">
        <f>Worksheet!A11</f>
        <v>Dining</v>
      </c>
      <c r="G7" s="38">
        <f>Worksheet!J11</f>
        <v>0.252</v>
      </c>
      <c r="H7" s="15" t="str">
        <f>IF(Worksheet!$J11=0,NA(),IF(VLOOKUP(Worksheet!$D11,[0]!RadType_LU,2)&gt;0,VLOOKUP(Worksheet!$J11,[0]!CFM_Vent_Lookup_1oz,2,TRUE),CONCATENATE(FLOOR(Worksheet!$J11/'Tables (Gill &amp; Pajek)'!$G$28,1),"pcs #2s &amp; ",CEILING(MOD(Worksheet!$J11,'Tables (Gill &amp; Pajek)'!$G$28)/'Tables (Gill &amp; Pajek)'!$F$28,1),"pcs #1s")))</f>
        <v>#C</v>
      </c>
      <c r="I7" s="18">
        <f>IF(Worksheet!$J11=0,0,IF(VLOOKUP(Worksheet!$D11,[0]!RadType_LU,2)&gt;0,VLOOKUP(H7,[0]!Gorton_Caps,2,TRUE),FLOOR(Worksheet!$J11/'Tables (Gill &amp; Pajek)'!$G$28,1)*'Tables (Gill &amp; Pajek)'!$I$5+CEILING(MOD(Worksheet!$J11,'Tables (Gill &amp; Pajek)'!$G$28)/'Tables (Gill &amp; Pajek)'!$F$28,1)*'Tables (Gill &amp; Pajek)'!$I$4))</f>
        <v>0.27</v>
      </c>
      <c r="J7" s="15" t="str">
        <f>IF(Worksheet!$J11=0,NA(),IF(VLOOKUP(Worksheet!$D11,[0]!RadType_LU,2)&gt;0,VLOOKUP(Worksheet!$J11,[0]!CFM_Vent_Lookup_2oz,2,TRUE),CONCATENATE(FLOOR(Worksheet!$J11/'Tables (Gill &amp; Pajek)'!$G$29,1),"pcs #2s &amp; ",CEILING(MOD(Worksheet!$J11,'Tables (Gill &amp; Pajek)'!$G$29)/'Tables (Gill &amp; Pajek)'!$F$29,1),"pcs #1s")))</f>
        <v>#C</v>
      </c>
      <c r="K7" s="18">
        <f>IF(Worksheet!$J11=0,0,IF(VLOOKUP(Worksheet!$D11,[0]!RadType_LU,2)&gt;0,VLOOKUP(J7,[0]!Gorton_Caps,3,TRUE),FLOOR(Worksheet!$J11/'Tables (Gill &amp; Pajek)'!$G$29,1)*'Tables (Gill &amp; Pajek)'!$J$5+CEILING(MOD(Worksheet!$J11,'Tables (Gill &amp; Pajek)'!$G$29)/'Tables (Gill &amp; Pajek)'!$F$29,1)*'Tables (Gill &amp; Pajek)'!$J$4))</f>
        <v>0.45</v>
      </c>
      <c r="L7" s="15" t="str">
        <f>IF(Worksheet!$J11=0,NA(),IF(VLOOKUP(Worksheet!$D11,[0]!RadType_LU,2)&gt;0,VLOOKUP(Worksheet!$J11,[0]!CFM_Vent_Lookup_3oz,2,TRUE),CONCATENATE(FLOOR(Worksheet!$J11/'Tables (Gill &amp; Pajek)'!$G$30,1),"pcs #2s &amp; ",CEILING(MOD(Worksheet!$J11,'Tables (Gill &amp; Pajek)'!$G$30)/'Tables (Gill &amp; Pajek)'!$F$30,1),"pcs #1s")))</f>
        <v>#6</v>
      </c>
      <c r="M7" s="18">
        <f>IF(Worksheet!$J11=0,0,IF(VLOOKUP(Worksheet!$D11,[0]!RadType_LU,2)&gt;0,VLOOKUP(L7,[0]!Gorton_Caps,4,TRUE),FLOOR(Worksheet!$J11/'Tables (Gill &amp; Pajek)'!$G$30,1)*'Tables (Gill &amp; Pajek)'!$K$5+CEILING(MOD(Worksheet!$J11,'Tables (Gill &amp; Pajek)'!$G$30)/'Tables (Gill &amp; Pajek)'!$F$30,1)*'Tables (Gill &amp; Pajek)'!$K$4))</f>
        <v>0.3</v>
      </c>
    </row>
    <row r="8" spans="1:13" ht="12" customHeight="1" x14ac:dyDescent="0.25">
      <c r="A8" s="49" t="s">
        <v>60</v>
      </c>
      <c r="B8" s="2"/>
      <c r="C8" s="2"/>
      <c r="D8" s="2"/>
      <c r="E8" s="2"/>
      <c r="F8" s="35" t="str">
        <f>Worksheet!A12</f>
        <v>Kitchen</v>
      </c>
      <c r="G8" s="39">
        <f>Worksheet!J12</f>
        <v>0.252</v>
      </c>
      <c r="H8" s="16" t="str">
        <f>IF(Worksheet!$J12=0,NA(),IF(VLOOKUP(Worksheet!$D12,[0]!RadType_LU,2)&gt;0,VLOOKUP(Worksheet!$J12,[0]!CFM_Vent_Lookup_1oz,2,TRUE),CONCATENATE(FLOOR(Worksheet!$J12/'Tables (Gill &amp; Pajek)'!$G$28,1),"pcs #2s &amp; ",CEILING(MOD(Worksheet!$J12,'Tables (Gill &amp; Pajek)'!$G$28)/'Tables (Gill &amp; Pajek)'!$F$28,1),"pcs #1s")))</f>
        <v>#C</v>
      </c>
      <c r="I8" s="21">
        <f>IF(Worksheet!$J12=0,0,IF(VLOOKUP(Worksheet!$D12,[0]!RadType_LU,2)&gt;0,VLOOKUP(H8,[0]!Gorton_Caps,2,TRUE),FLOOR(Worksheet!$J12/'Tables (Gill &amp; Pajek)'!$G$28,1)*'Tables (Gill &amp; Pajek)'!$I$5+CEILING(MOD(Worksheet!$J12,'Tables (Gill &amp; Pajek)'!$G$28)/'Tables (Gill &amp; Pajek)'!$F$28,1)*'Tables (Gill &amp; Pajek)'!$I$4))</f>
        <v>0.27</v>
      </c>
      <c r="J8" s="16" t="str">
        <f>IF(Worksheet!$J12=0,NA(),IF(VLOOKUP(Worksheet!$D12,[0]!RadType_LU,2)&gt;0,VLOOKUP(Worksheet!$J12,[0]!CFM_Vent_Lookup_2oz,2,TRUE),CONCATENATE(FLOOR(Worksheet!$J12/'Tables (Gill &amp; Pajek)'!$G$29,1),"pcs #2s &amp; ",CEILING(MOD(Worksheet!$J12,'Tables (Gill &amp; Pajek)'!$G$29)/'Tables (Gill &amp; Pajek)'!$F$29,1),"pcs #1s")))</f>
        <v>#C</v>
      </c>
      <c r="K8" s="21">
        <f>IF(Worksheet!$J12=0,0,IF(VLOOKUP(Worksheet!$D12,[0]!RadType_LU,2)&gt;0,VLOOKUP(J8,[0]!Gorton_Caps,3,TRUE),FLOOR(Worksheet!$J12/'Tables (Gill &amp; Pajek)'!$G$29,1)*'Tables (Gill &amp; Pajek)'!$J$5+CEILING(MOD(Worksheet!$J12,'Tables (Gill &amp; Pajek)'!$G$29)/'Tables (Gill &amp; Pajek)'!$F$29,1)*'Tables (Gill &amp; Pajek)'!$J$4))</f>
        <v>0.45</v>
      </c>
      <c r="L8" s="16" t="str">
        <f>IF(Worksheet!$J12=0,NA(),IF(VLOOKUP(Worksheet!$D12,[0]!RadType_LU,2)&gt;0,VLOOKUP(Worksheet!$J12,[0]!CFM_Vent_Lookup_3oz,2,TRUE),CONCATENATE(FLOOR(Worksheet!$J12/'Tables (Gill &amp; Pajek)'!$G$30,1),"pcs #2s &amp; ",CEILING(MOD(Worksheet!$J12,'Tables (Gill &amp; Pajek)'!$G$30)/'Tables (Gill &amp; Pajek)'!$F$30,1),"pcs #1s")))</f>
        <v>#6</v>
      </c>
      <c r="M8" s="21">
        <f>IF(Worksheet!$J12=0,0,IF(VLOOKUP(Worksheet!$D12,[0]!RadType_LU,2)&gt;0,VLOOKUP(L8,[0]!Gorton_Caps,4,TRUE),FLOOR(Worksheet!$J12/'Tables (Gill &amp; Pajek)'!$G$30,1)*'Tables (Gill &amp; Pajek)'!$K$5+CEILING(MOD(Worksheet!$J12,'Tables (Gill &amp; Pajek)'!$G$30)/'Tables (Gill &amp; Pajek)'!$F$30,1)*'Tables (Gill &amp; Pajek)'!$K$4))</f>
        <v>0.3</v>
      </c>
    </row>
    <row r="9" spans="1:13" ht="12" customHeight="1" x14ac:dyDescent="0.25">
      <c r="A9" s="48" t="s">
        <v>57</v>
      </c>
      <c r="B9" s="2"/>
      <c r="C9" s="2"/>
      <c r="D9" s="2"/>
      <c r="E9" s="2"/>
      <c r="F9" s="37" t="str">
        <f>Worksheet!A13</f>
        <v>Half Bath</v>
      </c>
      <c r="G9" s="38">
        <f>Worksheet!J13</f>
        <v>4.8333333333333339E-2</v>
      </c>
      <c r="H9" s="15" t="str">
        <f>IF(Worksheet!$J13=0,NA(),IF(VLOOKUP(Worksheet!$D13,[0]!RadType_LU,2)&gt;0,VLOOKUP(Worksheet!$J13,[0]!CFM_Vent_Lookup_1oz,2,TRUE),CONCATENATE(FLOOR(Worksheet!$J13/'Tables (Gill &amp; Pajek)'!$G$28,1),"pcs #2s &amp; ",CEILING(MOD(Worksheet!$J13,'Tables (Gill &amp; Pajek)'!$G$28)/'Tables (Gill &amp; Pajek)'!$F$28,1),"pcs #1s")))</f>
        <v>#5</v>
      </c>
      <c r="I9" s="18">
        <f>IF(Worksheet!$J13=0,0,IF(VLOOKUP(Worksheet!$D13,[0]!RadType_LU,2)&gt;0,VLOOKUP(H9,[0]!Gorton_Caps,2,TRUE),FLOOR(Worksheet!$J13/'Tables (Gill &amp; Pajek)'!$G$28,1)*'Tables (Gill &amp; Pajek)'!$I$5+CEILING(MOD(Worksheet!$J13,'Tables (Gill &amp; Pajek)'!$G$28)/'Tables (Gill &amp; Pajek)'!$F$28,1)*'Tables (Gill &amp; Pajek)'!$I$4))</f>
        <v>0.08</v>
      </c>
      <c r="J9" s="15" t="str">
        <f>IF(Worksheet!$J13=0,NA(),IF(VLOOKUP(Worksheet!$D13,[0]!RadType_LU,2)&gt;0,VLOOKUP(Worksheet!$J13,[0]!CFM_Vent_Lookup_2oz,2,TRUE),CONCATENATE(FLOOR(Worksheet!$J13/'Tables (Gill &amp; Pajek)'!$G$29,1),"pcs #2s &amp; ",CEILING(MOD(Worksheet!$J13,'Tables (Gill &amp; Pajek)'!$G$29)/'Tables (Gill &amp; Pajek)'!$F$29,1),"pcs #1s")))</f>
        <v>#5</v>
      </c>
      <c r="K9" s="18">
        <f>IF(Worksheet!$J13=0,0,IF(VLOOKUP(Worksheet!$D13,[0]!RadType_LU,2)&gt;0,VLOOKUP(J9,[0]!Gorton_Caps,3,TRUE),FLOOR(Worksheet!$J13/'Tables (Gill &amp; Pajek)'!$G$29,1)*'Tables (Gill &amp; Pajek)'!$J$5+CEILING(MOD(Worksheet!$J13,'Tables (Gill &amp; Pajek)'!$G$29)/'Tables (Gill &amp; Pajek)'!$F$29,1)*'Tables (Gill &amp; Pajek)'!$J$4))</f>
        <v>0.13</v>
      </c>
      <c r="L9" s="15" t="str">
        <f>IF(Worksheet!$J13=0,NA(),IF(VLOOKUP(Worksheet!$D13,[0]!RadType_LU,2)&gt;0,VLOOKUP(Worksheet!$J13,[0]!CFM_Vent_Lookup_3oz,2,TRUE),CONCATENATE(FLOOR(Worksheet!$J13/'Tables (Gill &amp; Pajek)'!$G$30,1),"pcs #2s &amp; ",CEILING(MOD(Worksheet!$J13,'Tables (Gill &amp; Pajek)'!$G$30)/'Tables (Gill &amp; Pajek)'!$F$30,1),"pcs #1s")))</f>
        <v>#4</v>
      </c>
      <c r="M9" s="18">
        <f>IF(Worksheet!$J13=0,0,IF(VLOOKUP(Worksheet!$D13,[0]!RadType_LU,2)&gt;0,VLOOKUP(L9,[0]!Gorton_Caps,4,TRUE),FLOOR(Worksheet!$J13/'Tables (Gill &amp; Pajek)'!$G$30,1)*'Tables (Gill &amp; Pajek)'!$K$5+CEILING(MOD(Worksheet!$J13,'Tables (Gill &amp; Pajek)'!$G$30)/'Tables (Gill &amp; Pajek)'!$F$30,1)*'Tables (Gill &amp; Pajek)'!$K$4))</f>
        <v>5.5E-2</v>
      </c>
    </row>
    <row r="10" spans="1:13" ht="12" customHeight="1" x14ac:dyDescent="0.25">
      <c r="A10" s="48" t="s">
        <v>58</v>
      </c>
      <c r="B10" s="2"/>
      <c r="C10" s="2"/>
      <c r="D10" s="2"/>
      <c r="E10" s="2"/>
      <c r="F10" s="35" t="str">
        <f>Worksheet!A14</f>
        <v>Guest</v>
      </c>
      <c r="G10" s="39">
        <f>Worksheet!J14</f>
        <v>0.14466666666666669</v>
      </c>
      <c r="H10" s="16" t="str">
        <f>IF(Worksheet!$J14=0,NA(),IF(VLOOKUP(Worksheet!$D14,[0]!RadType_LU,2)&gt;0,VLOOKUP(Worksheet!$J14,[0]!CFM_Vent_Lookup_1oz,2,TRUE),CONCATENATE(FLOOR(Worksheet!$J14/'Tables (Gill &amp; Pajek)'!$G$28,1),"pcs #2s &amp; ",CEILING(MOD(Worksheet!$J14,'Tables (Gill &amp; Pajek)'!$G$28)/'Tables (Gill &amp; Pajek)'!$F$28,1),"pcs #1s")))</f>
        <v>#6</v>
      </c>
      <c r="I10" s="21">
        <f>IF(Worksheet!$J14=0,0,IF(VLOOKUP(Worksheet!$D14,[0]!RadType_LU,2)&gt;0,VLOOKUP(H10,[0]!Gorton_Caps,2,TRUE),FLOOR(Worksheet!$J14/'Tables (Gill &amp; Pajek)'!$G$28,1)*'Tables (Gill &amp; Pajek)'!$I$5+CEILING(MOD(Worksheet!$J14,'Tables (Gill &amp; Pajek)'!$G$28)/'Tables (Gill &amp; Pajek)'!$F$28,1)*'Tables (Gill &amp; Pajek)'!$I$4))</f>
        <v>0.15</v>
      </c>
      <c r="J10" s="16" t="str">
        <f>IF(Worksheet!$J14=0,NA(),IF(VLOOKUP(Worksheet!$D14,[0]!RadType_LU,2)&gt;0,VLOOKUP(Worksheet!$J14,[0]!CFM_Vent_Lookup_2oz,2,TRUE),CONCATENATE(FLOOR(Worksheet!$J14/'Tables (Gill &amp; Pajek)'!$G$29,1),"pcs #2s &amp; ",CEILING(MOD(Worksheet!$J14,'Tables (Gill &amp; Pajek)'!$G$29)/'Tables (Gill &amp; Pajek)'!$F$29,1),"pcs #1s")))</f>
        <v>#6</v>
      </c>
      <c r="K10" s="21">
        <f>IF(Worksheet!$J14=0,0,IF(VLOOKUP(Worksheet!$D14,[0]!RadType_LU,2)&gt;0,VLOOKUP(J10,[0]!Gorton_Caps,3,TRUE),FLOOR(Worksheet!$J14/'Tables (Gill &amp; Pajek)'!$G$29,1)*'Tables (Gill &amp; Pajek)'!$J$5+CEILING(MOD(Worksheet!$J14,'Tables (Gill &amp; Pajek)'!$G$29)/'Tables (Gill &amp; Pajek)'!$F$29,1)*'Tables (Gill &amp; Pajek)'!$J$4))</f>
        <v>0.23499999999999999</v>
      </c>
      <c r="L10" s="16" t="str">
        <f>IF(Worksheet!$J14=0,NA(),IF(VLOOKUP(Worksheet!$D14,[0]!RadType_LU,2)&gt;0,VLOOKUP(Worksheet!$J14,[0]!CFM_Vent_Lookup_3oz,2,TRUE),CONCATENATE(FLOOR(Worksheet!$J14/'Tables (Gill &amp; Pajek)'!$G$30,1),"pcs #2s &amp; ",CEILING(MOD(Worksheet!$J14,'Tables (Gill &amp; Pajek)'!$G$30)/'Tables (Gill &amp; Pajek)'!$F$30,1),"pcs #1s")))</f>
        <v>#5</v>
      </c>
      <c r="M10" s="21">
        <f>IF(Worksheet!$J14=0,0,IF(VLOOKUP(Worksheet!$D14,[0]!RadType_LU,2)&gt;0,VLOOKUP(L10,[0]!Gorton_Caps,4,TRUE),FLOOR(Worksheet!$J14/'Tables (Gill &amp; Pajek)'!$G$30,1)*'Tables (Gill &amp; Pajek)'!$K$5+CEILING(MOD(Worksheet!$J14,'Tables (Gill &amp; Pajek)'!$G$30)/'Tables (Gill &amp; Pajek)'!$F$30,1)*'Tables (Gill &amp; Pajek)'!$K$4))</f>
        <v>0.16</v>
      </c>
    </row>
    <row r="11" spans="1:13" ht="12" customHeight="1" x14ac:dyDescent="0.25">
      <c r="A11" s="48" t="s">
        <v>59</v>
      </c>
      <c r="B11" s="2"/>
      <c r="C11" s="2"/>
      <c r="D11" s="2"/>
      <c r="E11" s="2"/>
      <c r="F11" s="37" t="str">
        <f>Worksheet!A15</f>
        <v>Emmy's Office</v>
      </c>
      <c r="G11" s="38">
        <f>Worksheet!J15</f>
        <v>0.158</v>
      </c>
      <c r="H11" s="15" t="str">
        <f>IF(Worksheet!$J15=0,NA(),IF(VLOOKUP(Worksheet!$D15,[0]!RadType_LU,2)&gt;0,VLOOKUP(Worksheet!$J15,[0]!CFM_Vent_Lookup_1oz,2,TRUE),CONCATENATE(FLOOR(Worksheet!$J15/'Tables (Gill &amp; Pajek)'!$G$28,1),"pcs #2s &amp; ",CEILING(MOD(Worksheet!$J15,'Tables (Gill &amp; Pajek)'!$G$28)/'Tables (Gill &amp; Pajek)'!$F$28,1),"pcs #1s")))</f>
        <v>#C</v>
      </c>
      <c r="I11" s="18">
        <f>IF(Worksheet!$J15=0,0,IF(VLOOKUP(Worksheet!$D15,[0]!RadType_LU,2)&gt;0,VLOOKUP(H11,[0]!Gorton_Caps,2,TRUE),FLOOR(Worksheet!$J15/'Tables (Gill &amp; Pajek)'!$G$28,1)*'Tables (Gill &amp; Pajek)'!$I$5+CEILING(MOD(Worksheet!$J15,'Tables (Gill &amp; Pajek)'!$G$28)/'Tables (Gill &amp; Pajek)'!$F$28,1)*'Tables (Gill &amp; Pajek)'!$I$4))</f>
        <v>0.27</v>
      </c>
      <c r="J11" s="15" t="str">
        <f>IF(Worksheet!$J15=0,NA(),IF(VLOOKUP(Worksheet!$D15,[0]!RadType_LU,2)&gt;0,VLOOKUP(Worksheet!$J15,[0]!CFM_Vent_Lookup_2oz,2,TRUE),CONCATENATE(FLOOR(Worksheet!$J15/'Tables (Gill &amp; Pajek)'!$G$29,1),"pcs #2s &amp; ",CEILING(MOD(Worksheet!$J15,'Tables (Gill &amp; Pajek)'!$G$29)/'Tables (Gill &amp; Pajek)'!$F$29,1),"pcs #1s")))</f>
        <v>#6</v>
      </c>
      <c r="K11" s="18">
        <f>IF(Worksheet!$J15=0,0,IF(VLOOKUP(Worksheet!$D15,[0]!RadType_LU,2)&gt;0,VLOOKUP(J11,[0]!Gorton_Caps,3,TRUE),FLOOR(Worksheet!$J15/'Tables (Gill &amp; Pajek)'!$G$29,1)*'Tables (Gill &amp; Pajek)'!$J$5+CEILING(MOD(Worksheet!$J15,'Tables (Gill &amp; Pajek)'!$G$29)/'Tables (Gill &amp; Pajek)'!$F$29,1)*'Tables (Gill &amp; Pajek)'!$J$4))</f>
        <v>0.23499999999999999</v>
      </c>
      <c r="L11" s="15" t="str">
        <f>IF(Worksheet!$J15=0,NA(),IF(VLOOKUP(Worksheet!$D15,[0]!RadType_LU,2)&gt;0,VLOOKUP(Worksheet!$J15,[0]!CFM_Vent_Lookup_3oz,2,TRUE),CONCATENATE(FLOOR(Worksheet!$J15/'Tables (Gill &amp; Pajek)'!$G$30,1),"pcs #2s &amp; ",CEILING(MOD(Worksheet!$J15,'Tables (Gill &amp; Pajek)'!$G$30)/'Tables (Gill &amp; Pajek)'!$F$30,1),"pcs #1s")))</f>
        <v>#5</v>
      </c>
      <c r="M11" s="18">
        <f>IF(Worksheet!$J15=0,0,IF(VLOOKUP(Worksheet!$D15,[0]!RadType_LU,2)&gt;0,VLOOKUP(L11,[0]!Gorton_Caps,4,TRUE),FLOOR(Worksheet!$J15/'Tables (Gill &amp; Pajek)'!$G$30,1)*'Tables (Gill &amp; Pajek)'!$K$5+CEILING(MOD(Worksheet!$J15,'Tables (Gill &amp; Pajek)'!$G$30)/'Tables (Gill &amp; Pajek)'!$F$30,1)*'Tables (Gill &amp; Pajek)'!$K$4))</f>
        <v>0.16</v>
      </c>
    </row>
    <row r="12" spans="1:13" ht="12" customHeight="1" x14ac:dyDescent="0.25">
      <c r="A12" s="48"/>
      <c r="B12" s="2"/>
      <c r="C12" s="2"/>
      <c r="D12" s="2"/>
      <c r="E12" s="2"/>
      <c r="F12" s="35" t="str">
        <f>Worksheet!A16</f>
        <v>Dan's Office</v>
      </c>
      <c r="G12" s="39">
        <f>Worksheet!J16</f>
        <v>0.16333333333333333</v>
      </c>
      <c r="H12" s="16" t="str">
        <f>IF(Worksheet!$J16=0,NA(),IF(VLOOKUP(Worksheet!$D16,[0]!RadType_LU,2)&gt;0,VLOOKUP(Worksheet!$J16,[0]!CFM_Vent_Lookup_1oz,2,TRUE),CONCATENATE(FLOOR(Worksheet!$J16/'Tables (Gill &amp; Pajek)'!$G$28,1),"pcs #2s &amp; ",CEILING(MOD(Worksheet!$J16,'Tables (Gill &amp; Pajek)'!$G$28)/'Tables (Gill &amp; Pajek)'!$F$28,1),"pcs #1s")))</f>
        <v>#C</v>
      </c>
      <c r="I12" s="21">
        <f>IF(Worksheet!$J16=0,0,IF(VLOOKUP(Worksheet!$D16,[0]!RadType_LU,2)&gt;0,VLOOKUP(H12,[0]!Gorton_Caps,2,TRUE),FLOOR(Worksheet!$J16/'Tables (Gill &amp; Pajek)'!$G$28,1)*'Tables (Gill &amp; Pajek)'!$I$5+CEILING(MOD(Worksheet!$J16,'Tables (Gill &amp; Pajek)'!$G$28)/'Tables (Gill &amp; Pajek)'!$F$28,1)*'Tables (Gill &amp; Pajek)'!$I$4))</f>
        <v>0.27</v>
      </c>
      <c r="J12" s="16" t="str">
        <f>IF(Worksheet!$J16=0,NA(),IF(VLOOKUP(Worksheet!$D16,[0]!RadType_LU,2)&gt;0,VLOOKUP(Worksheet!$J16,[0]!CFM_Vent_Lookup_2oz,2,TRUE),CONCATENATE(FLOOR(Worksheet!$J16/'Tables (Gill &amp; Pajek)'!$G$29,1),"pcs #2s &amp; ",CEILING(MOD(Worksheet!$J16,'Tables (Gill &amp; Pajek)'!$G$29)/'Tables (Gill &amp; Pajek)'!$F$29,1),"pcs #1s")))</f>
        <v>#6</v>
      </c>
      <c r="K12" s="21">
        <f>IF(Worksheet!$J16=0,0,IF(VLOOKUP(Worksheet!$D16,[0]!RadType_LU,2)&gt;0,VLOOKUP(J12,[0]!Gorton_Caps,3,TRUE),FLOOR(Worksheet!$J16/'Tables (Gill &amp; Pajek)'!$G$29,1)*'Tables (Gill &amp; Pajek)'!$J$5+CEILING(MOD(Worksheet!$J16,'Tables (Gill &amp; Pajek)'!$G$29)/'Tables (Gill &amp; Pajek)'!$F$29,1)*'Tables (Gill &amp; Pajek)'!$J$4))</f>
        <v>0.23499999999999999</v>
      </c>
      <c r="L12" s="16" t="str">
        <f>IF(Worksheet!$J16=0,NA(),IF(VLOOKUP(Worksheet!$D16,[0]!RadType_LU,2)&gt;0,VLOOKUP(Worksheet!$J16,[0]!CFM_Vent_Lookup_3oz,2,TRUE),CONCATENATE(FLOOR(Worksheet!$J16/'Tables (Gill &amp; Pajek)'!$G$30,1),"pcs #2s &amp; ",CEILING(MOD(Worksheet!$J16,'Tables (Gill &amp; Pajek)'!$G$30)/'Tables (Gill &amp; Pajek)'!$F$30,1),"pcs #1s")))</f>
        <v>#6</v>
      </c>
      <c r="M12" s="21">
        <f>IF(Worksheet!$J16=0,0,IF(VLOOKUP(Worksheet!$D16,[0]!RadType_LU,2)&gt;0,VLOOKUP(L12,[0]!Gorton_Caps,4,TRUE),FLOOR(Worksheet!$J16/'Tables (Gill &amp; Pajek)'!$G$30,1)*'Tables (Gill &amp; Pajek)'!$K$5+CEILING(MOD(Worksheet!$J16,'Tables (Gill &amp; Pajek)'!$G$30)/'Tables (Gill &amp; Pajek)'!$F$30,1)*'Tables (Gill &amp; Pajek)'!$K$4))</f>
        <v>0.3</v>
      </c>
    </row>
    <row r="13" spans="1:13" ht="12" customHeight="1" x14ac:dyDescent="0.25">
      <c r="A13" s="49" t="s">
        <v>86</v>
      </c>
      <c r="B13" s="2"/>
      <c r="C13" s="2"/>
      <c r="D13" s="2"/>
      <c r="E13" s="2"/>
      <c r="F13" s="37" t="str">
        <f>Worksheet!A17</f>
        <v xml:space="preserve">Master </v>
      </c>
      <c r="G13" s="38">
        <f>Worksheet!J17</f>
        <v>0.13800000000000001</v>
      </c>
      <c r="H13" s="15" t="str">
        <f>IF(Worksheet!$J17=0,NA(),IF(VLOOKUP(Worksheet!$D17,[0]!RadType_LU,2)&gt;0,VLOOKUP(Worksheet!$J17,[0]!CFM_Vent_Lookup_1oz,2,TRUE),CONCATENATE(FLOOR(Worksheet!$J17/'Tables (Gill &amp; Pajek)'!$G$28,1),"pcs #2s &amp; ",CEILING(MOD(Worksheet!$J17,'Tables (Gill &amp; Pajek)'!$G$28)/'Tables (Gill &amp; Pajek)'!$F$28,1),"pcs #1s")))</f>
        <v>#6</v>
      </c>
      <c r="I13" s="18">
        <f>IF(Worksheet!$J17=0,0,IF(VLOOKUP(Worksheet!$D17,[0]!RadType_LU,2)&gt;0,VLOOKUP(H13,[0]!Gorton_Caps,2,TRUE),FLOOR(Worksheet!$J17/'Tables (Gill &amp; Pajek)'!$G$28,1)*'Tables (Gill &amp; Pajek)'!$I$5+CEILING(MOD(Worksheet!$J17,'Tables (Gill &amp; Pajek)'!$G$28)/'Tables (Gill &amp; Pajek)'!$F$28,1)*'Tables (Gill &amp; Pajek)'!$I$4))</f>
        <v>0.15</v>
      </c>
      <c r="J13" s="15" t="str">
        <f>IF(Worksheet!$J17=0,NA(),IF(VLOOKUP(Worksheet!$D17,[0]!RadType_LU,2)&gt;0,VLOOKUP(Worksheet!$J17,[0]!CFM_Vent_Lookup_2oz,2,TRUE),CONCATENATE(FLOOR(Worksheet!$J17/'Tables (Gill &amp; Pajek)'!$G$29,1),"pcs #2s &amp; ",CEILING(MOD(Worksheet!$J17,'Tables (Gill &amp; Pajek)'!$G$29)/'Tables (Gill &amp; Pajek)'!$F$29,1),"pcs #1s")))</f>
        <v>#6</v>
      </c>
      <c r="K13" s="18">
        <f>IF(Worksheet!$J17=0,0,IF(VLOOKUP(Worksheet!$D17,[0]!RadType_LU,2)&gt;0,VLOOKUP(J13,[0]!Gorton_Caps,3,TRUE),FLOOR(Worksheet!$J17/'Tables (Gill &amp; Pajek)'!$G$29,1)*'Tables (Gill &amp; Pajek)'!$J$5+CEILING(MOD(Worksheet!$J17,'Tables (Gill &amp; Pajek)'!$G$29)/'Tables (Gill &amp; Pajek)'!$F$29,1)*'Tables (Gill &amp; Pajek)'!$J$4))</f>
        <v>0.23499999999999999</v>
      </c>
      <c r="L13" s="15" t="str">
        <f>IF(Worksheet!$J17=0,NA(),IF(VLOOKUP(Worksheet!$D17,[0]!RadType_LU,2)&gt;0,VLOOKUP(Worksheet!$J17,[0]!CFM_Vent_Lookup_3oz,2,TRUE),CONCATENATE(FLOOR(Worksheet!$J17/'Tables (Gill &amp; Pajek)'!$G$30,1),"pcs #2s &amp; ",CEILING(MOD(Worksheet!$J17,'Tables (Gill &amp; Pajek)'!$G$30)/'Tables (Gill &amp; Pajek)'!$F$30,1),"pcs #1s")))</f>
        <v>#5</v>
      </c>
      <c r="M13" s="18">
        <f>IF(Worksheet!$J17=0,0,IF(VLOOKUP(Worksheet!$D17,[0]!RadType_LU,2)&gt;0,VLOOKUP(L13,[0]!Gorton_Caps,4,TRUE),FLOOR(Worksheet!$J17/'Tables (Gill &amp; Pajek)'!$G$30,1)*'Tables (Gill &amp; Pajek)'!$K$5+CEILING(MOD(Worksheet!$J17,'Tables (Gill &amp; Pajek)'!$G$30)/'Tables (Gill &amp; Pajek)'!$F$30,1)*'Tables (Gill &amp; Pajek)'!$K$4))</f>
        <v>0.16</v>
      </c>
    </row>
    <row r="14" spans="1:13" ht="12" customHeight="1" x14ac:dyDescent="0.25">
      <c r="A14" s="48" t="s">
        <v>89</v>
      </c>
      <c r="B14" s="2"/>
      <c r="C14" s="2"/>
      <c r="D14" s="2"/>
      <c r="E14" s="2"/>
      <c r="F14" s="35" t="str">
        <f>Worksheet!A18</f>
        <v>Bathroom</v>
      </c>
      <c r="G14" s="39">
        <f>Worksheet!J18</f>
        <v>0.10266666666666668</v>
      </c>
      <c r="H14" s="16" t="str">
        <f>IF(Worksheet!$J18=0,NA(),IF(VLOOKUP(Worksheet!$D18,[0]!RadType_LU,2)&gt;0,VLOOKUP(Worksheet!$J18,[0]!CFM_Vent_Lookup_1oz,2,TRUE),CONCATENATE(FLOOR(Worksheet!$J18/'Tables (Gill &amp; Pajek)'!$G$28,1),"pcs #2s &amp; ",CEILING(MOD(Worksheet!$J18,'Tables (Gill &amp; Pajek)'!$G$28)/'Tables (Gill &amp; Pajek)'!$F$28,1),"pcs #1s")))</f>
        <v>#6</v>
      </c>
      <c r="I14" s="21">
        <f>IF(Worksheet!$J18=0,0,IF(VLOOKUP(Worksheet!$D18,[0]!RadType_LU,2)&gt;0,VLOOKUP(H14,[0]!Gorton_Caps,2,TRUE),FLOOR(Worksheet!$J18/'Tables (Gill &amp; Pajek)'!$G$28,1)*'Tables (Gill &amp; Pajek)'!$I$5+CEILING(MOD(Worksheet!$J18,'Tables (Gill &amp; Pajek)'!$G$28)/'Tables (Gill &amp; Pajek)'!$F$28,1)*'Tables (Gill &amp; Pajek)'!$I$4))</f>
        <v>0.15</v>
      </c>
      <c r="J14" s="16" t="str">
        <f>IF(Worksheet!$J18=0,NA(),IF(VLOOKUP(Worksheet!$D18,[0]!RadType_LU,2)&gt;0,VLOOKUP(Worksheet!$J18,[0]!CFM_Vent_Lookup_2oz,2,TRUE),CONCATENATE(FLOOR(Worksheet!$J18/'Tables (Gill &amp; Pajek)'!$G$29,1),"pcs #2s &amp; ",CEILING(MOD(Worksheet!$J18,'Tables (Gill &amp; Pajek)'!$G$29)/'Tables (Gill &amp; Pajek)'!$F$29,1),"pcs #1s")))</f>
        <v>#5</v>
      </c>
      <c r="K14" s="21">
        <f>IF(Worksheet!$J18=0,0,IF(VLOOKUP(Worksheet!$D18,[0]!RadType_LU,2)&gt;0,VLOOKUP(J14,[0]!Gorton_Caps,3,TRUE),FLOOR(Worksheet!$J18/'Tables (Gill &amp; Pajek)'!$G$29,1)*'Tables (Gill &amp; Pajek)'!$J$5+CEILING(MOD(Worksheet!$J18,'Tables (Gill &amp; Pajek)'!$G$29)/'Tables (Gill &amp; Pajek)'!$F$29,1)*'Tables (Gill &amp; Pajek)'!$J$4))</f>
        <v>0.13</v>
      </c>
      <c r="L14" s="16" t="str">
        <f>IF(Worksheet!$J18=0,NA(),IF(VLOOKUP(Worksheet!$D18,[0]!RadType_LU,2)&gt;0,VLOOKUP(Worksheet!$J18,[0]!CFM_Vent_Lookup_3oz,2,TRUE),CONCATENATE(FLOOR(Worksheet!$J18/'Tables (Gill &amp; Pajek)'!$G$30,1),"pcs #2s &amp; ",CEILING(MOD(Worksheet!$J18,'Tables (Gill &amp; Pajek)'!$G$30)/'Tables (Gill &amp; Pajek)'!$F$30,1),"pcs #1s")))</f>
        <v>#5</v>
      </c>
      <c r="M14" s="21">
        <f>IF(Worksheet!$J18=0,0,IF(VLOOKUP(Worksheet!$D18,[0]!RadType_LU,2)&gt;0,VLOOKUP(L14,[0]!Gorton_Caps,4,TRUE),FLOOR(Worksheet!$J18/'Tables (Gill &amp; Pajek)'!$G$30,1)*'Tables (Gill &amp; Pajek)'!$K$5+CEILING(MOD(Worksheet!$J18,'Tables (Gill &amp; Pajek)'!$G$30)/'Tables (Gill &amp; Pajek)'!$F$30,1)*'Tables (Gill &amp; Pajek)'!$K$4))</f>
        <v>0.16</v>
      </c>
    </row>
    <row r="15" spans="1:13" ht="12" customHeight="1" x14ac:dyDescent="0.25">
      <c r="A15" s="48" t="s">
        <v>87</v>
      </c>
      <c r="B15" s="2"/>
      <c r="C15" s="2"/>
      <c r="D15" s="2"/>
      <c r="E15" s="2"/>
      <c r="F15" s="37" t="str">
        <f>Worksheet!A19</f>
        <v>-</v>
      </c>
      <c r="G15" s="38">
        <f>Worksheet!J19</f>
        <v>5.0000000000000001E-3</v>
      </c>
      <c r="H15" s="15" t="str">
        <f>IF(Worksheet!$J19=0,NA(),IF(VLOOKUP(Worksheet!$D19,[0]!RadType_LU,2)&gt;0,VLOOKUP(Worksheet!$J19,[0]!CFM_Vent_Lookup_1oz,2,TRUE),CONCATENATE(FLOOR(Worksheet!$J19/'Tables (Gill &amp; Pajek)'!$G$28,1),"pcs #2s &amp; ",CEILING(MOD(Worksheet!$J19,'Tables (Gill &amp; Pajek)'!$G$28)/'Tables (Gill &amp; Pajek)'!$F$28,1),"pcs #1s")))</f>
        <v>#4</v>
      </c>
      <c r="I15" s="18">
        <f>IF(Worksheet!$J19=0,0,IF(VLOOKUP(Worksheet!$D19,[0]!RadType_LU,2)&gt;0,VLOOKUP(H15,[0]!Gorton_Caps,2,TRUE),FLOOR(Worksheet!$J19/'Tables (Gill &amp; Pajek)'!$G$28,1)*'Tables (Gill &amp; Pajek)'!$I$5+CEILING(MOD(Worksheet!$J19,'Tables (Gill &amp; Pajek)'!$G$28)/'Tables (Gill &amp; Pajek)'!$F$28,1)*'Tables (Gill &amp; Pajek)'!$I$4))</f>
        <v>2.5000000000000001E-2</v>
      </c>
      <c r="J15" s="15" t="str">
        <f>IF(Worksheet!$J19=0,NA(),IF(VLOOKUP(Worksheet!$D19,[0]!RadType_LU,2)&gt;0,VLOOKUP(Worksheet!$J19,[0]!CFM_Vent_Lookup_2oz,2,TRUE),CONCATENATE(FLOOR(Worksheet!$J19/'Tables (Gill &amp; Pajek)'!$G$29,1),"pcs #2s &amp; ",CEILING(MOD(Worksheet!$J19,'Tables (Gill &amp; Pajek)'!$G$29)/'Tables (Gill &amp; Pajek)'!$F$29,1),"pcs #1s")))</f>
        <v>#4</v>
      </c>
      <c r="K15" s="18">
        <f>IF(Worksheet!$J19=0,0,IF(VLOOKUP(Worksheet!$D19,[0]!RadType_LU,2)&gt;0,VLOOKUP(J15,[0]!Gorton_Caps,3,TRUE),FLOOR(Worksheet!$J19/'Tables (Gill &amp; Pajek)'!$G$29,1)*'Tables (Gill &amp; Pajek)'!$J$5+CEILING(MOD(Worksheet!$J19,'Tables (Gill &amp; Pajek)'!$G$29)/'Tables (Gill &amp; Pajek)'!$F$29,1)*'Tables (Gill &amp; Pajek)'!$J$4))</f>
        <v>0.04</v>
      </c>
      <c r="L15" s="15" t="str">
        <f>IF(Worksheet!$J19=0,NA(),IF(VLOOKUP(Worksheet!$D19,[0]!RadType_LU,2)&gt;0,VLOOKUP(Worksheet!$J19,[0]!CFM_Vent_Lookup_3oz,2,TRUE),CONCATENATE(FLOOR(Worksheet!$J19/'Tables (Gill &amp; Pajek)'!$G$30,1),"pcs #2s &amp; ",CEILING(MOD(Worksheet!$J19,'Tables (Gill &amp; Pajek)'!$G$30)/'Tables (Gill &amp; Pajek)'!$F$30,1),"pcs #1s")))</f>
        <v>#4</v>
      </c>
      <c r="M15" s="18">
        <f>IF(Worksheet!$J19=0,0,IF(VLOOKUP(Worksheet!$D19,[0]!RadType_LU,2)&gt;0,VLOOKUP(L15,[0]!Gorton_Caps,4,TRUE),FLOOR(Worksheet!$J19/'Tables (Gill &amp; Pajek)'!$G$30,1)*'Tables (Gill &amp; Pajek)'!$K$5+CEILING(MOD(Worksheet!$J19,'Tables (Gill &amp; Pajek)'!$G$30)/'Tables (Gill &amp; Pajek)'!$F$30,1)*'Tables (Gill &amp; Pajek)'!$K$4))</f>
        <v>5.5E-2</v>
      </c>
    </row>
    <row r="16" spans="1:13" ht="12" customHeight="1" x14ac:dyDescent="0.25">
      <c r="A16" s="48" t="s">
        <v>88</v>
      </c>
      <c r="B16" s="2"/>
      <c r="C16" s="2"/>
      <c r="D16" s="2"/>
      <c r="E16" s="2"/>
      <c r="F16" s="35" t="str">
        <f>Worksheet!A20</f>
        <v>-</v>
      </c>
      <c r="G16" s="39">
        <f>Worksheet!J20</f>
        <v>5.0000000000000001E-3</v>
      </c>
      <c r="H16" s="16" t="str">
        <f>IF(Worksheet!$J20=0,NA(),IF(VLOOKUP(Worksheet!$D20,[0]!RadType_LU,2)&gt;0,VLOOKUP(Worksheet!$J20,[0]!CFM_Vent_Lookup_1oz,2,TRUE),CONCATENATE(FLOOR(Worksheet!$J20/'Tables (Gill &amp; Pajek)'!$G$28,1),"pcs #2s &amp; ",CEILING(MOD(Worksheet!$J20,'Tables (Gill &amp; Pajek)'!$G$28)/'Tables (Gill &amp; Pajek)'!$F$28,1),"pcs #1s")))</f>
        <v>#4</v>
      </c>
      <c r="I16" s="21">
        <f>IF(Worksheet!$J20=0,0,IF(VLOOKUP(Worksheet!$D20,[0]!RadType_LU,2)&gt;0,VLOOKUP(H16,[0]!Gorton_Caps,2,TRUE),FLOOR(Worksheet!$J20/'Tables (Gill &amp; Pajek)'!$G$28,1)*'Tables (Gill &amp; Pajek)'!$I$5+CEILING(MOD(Worksheet!$J20,'Tables (Gill &amp; Pajek)'!$G$28)/'Tables (Gill &amp; Pajek)'!$F$28,1)*'Tables (Gill &amp; Pajek)'!$I$4))</f>
        <v>2.5000000000000001E-2</v>
      </c>
      <c r="J16" s="16" t="str">
        <f>IF(Worksheet!$J20=0,NA(),IF(VLOOKUP(Worksheet!$D20,[0]!RadType_LU,2)&gt;0,VLOOKUP(Worksheet!$J20,[0]!CFM_Vent_Lookup_2oz,2,TRUE),CONCATENATE(FLOOR(Worksheet!$J20/'Tables (Gill &amp; Pajek)'!$G$29,1),"pcs #2s &amp; ",CEILING(MOD(Worksheet!$J20,'Tables (Gill &amp; Pajek)'!$G$29)/'Tables (Gill &amp; Pajek)'!$F$29,1),"pcs #1s")))</f>
        <v>#4</v>
      </c>
      <c r="K16" s="21">
        <f>IF(Worksheet!$J20=0,0,IF(VLOOKUP(Worksheet!$D20,[0]!RadType_LU,2)&gt;0,VLOOKUP(J16,[0]!Gorton_Caps,3,TRUE),FLOOR(Worksheet!$J20/'Tables (Gill &amp; Pajek)'!$G$29,1)*'Tables (Gill &amp; Pajek)'!$J$5+CEILING(MOD(Worksheet!$J20,'Tables (Gill &amp; Pajek)'!$G$29)/'Tables (Gill &amp; Pajek)'!$F$29,1)*'Tables (Gill &amp; Pajek)'!$J$4))</f>
        <v>0.04</v>
      </c>
      <c r="L16" s="16" t="str">
        <f>IF(Worksheet!$J20=0,NA(),IF(VLOOKUP(Worksheet!$D20,[0]!RadType_LU,2)&gt;0,VLOOKUP(Worksheet!$J20,[0]!CFM_Vent_Lookup_3oz,2,TRUE),CONCATENATE(FLOOR(Worksheet!$J20/'Tables (Gill &amp; Pajek)'!$G$30,1),"pcs #2s &amp; ",CEILING(MOD(Worksheet!$J20,'Tables (Gill &amp; Pajek)'!$G$30)/'Tables (Gill &amp; Pajek)'!$F$30,1),"pcs #1s")))</f>
        <v>#4</v>
      </c>
      <c r="M16" s="21">
        <f>IF(Worksheet!$J20=0,0,IF(VLOOKUP(Worksheet!$D20,[0]!RadType_LU,2)&gt;0,VLOOKUP(L16,[0]!Gorton_Caps,4,TRUE),FLOOR(Worksheet!$J20/'Tables (Gill &amp; Pajek)'!$G$30,1)*'Tables (Gill &amp; Pajek)'!$K$5+CEILING(MOD(Worksheet!$J20,'Tables (Gill &amp; Pajek)'!$G$30)/'Tables (Gill &amp; Pajek)'!$F$30,1)*'Tables (Gill &amp; Pajek)'!$K$4))</f>
        <v>5.5E-2</v>
      </c>
    </row>
    <row r="17" spans="1:13" ht="12" customHeight="1" x14ac:dyDescent="0.25">
      <c r="A17" s="2"/>
      <c r="B17" s="2"/>
      <c r="C17" s="2"/>
      <c r="D17" s="2"/>
      <c r="E17" s="2"/>
      <c r="F17" s="37" t="str">
        <f>Worksheet!A21</f>
        <v>-</v>
      </c>
      <c r="G17" s="38">
        <f>Worksheet!J21</f>
        <v>5.0000000000000001E-3</v>
      </c>
      <c r="H17" s="15" t="str">
        <f>IF(Worksheet!$J21=0,NA(),IF(VLOOKUP(Worksheet!$D21,[0]!RadType_LU,2)&gt;0,VLOOKUP(Worksheet!$J21,[0]!CFM_Vent_Lookup_1oz,2,TRUE),CONCATENATE(FLOOR(Worksheet!$J21/'Tables (Gill &amp; Pajek)'!$G$28,1),"pcs #2s &amp; ",CEILING(MOD(Worksheet!$J21,'Tables (Gill &amp; Pajek)'!$G$28)/'Tables (Gill &amp; Pajek)'!$F$28,1),"pcs #1s")))</f>
        <v>#4</v>
      </c>
      <c r="I17" s="18">
        <f>IF(Worksheet!$J21=0,0,IF(VLOOKUP(Worksheet!$D21,[0]!RadType_LU,2)&gt;0,VLOOKUP(H17,[0]!Gorton_Caps,2,TRUE),FLOOR(Worksheet!$J21/'Tables (Gill &amp; Pajek)'!$G$28,1)*'Tables (Gill &amp; Pajek)'!$I$5+CEILING(MOD(Worksheet!$J21,'Tables (Gill &amp; Pajek)'!$G$28)/'Tables (Gill &amp; Pajek)'!$F$28,1)*'Tables (Gill &amp; Pajek)'!$I$4))</f>
        <v>2.5000000000000001E-2</v>
      </c>
      <c r="J17" s="15" t="str">
        <f>IF(Worksheet!$J21=0,NA(),IF(VLOOKUP(Worksheet!$D21,[0]!RadType_LU,2)&gt;0,VLOOKUP(Worksheet!$J21,[0]!CFM_Vent_Lookup_2oz,2,TRUE),CONCATENATE(FLOOR(Worksheet!$J21/'Tables (Gill &amp; Pajek)'!$G$29,1),"pcs #2s &amp; ",CEILING(MOD(Worksheet!$J21,'Tables (Gill &amp; Pajek)'!$G$29)/'Tables (Gill &amp; Pajek)'!$F$29,1),"pcs #1s")))</f>
        <v>#4</v>
      </c>
      <c r="K17" s="18">
        <f>IF(Worksheet!$J21=0,0,IF(VLOOKUP(Worksheet!$D21,[0]!RadType_LU,2)&gt;0,VLOOKUP(J17,[0]!Gorton_Caps,3,TRUE),FLOOR(Worksheet!$J21/'Tables (Gill &amp; Pajek)'!$G$29,1)*'Tables (Gill &amp; Pajek)'!$J$5+CEILING(MOD(Worksheet!$J21,'Tables (Gill &amp; Pajek)'!$G$29)/'Tables (Gill &amp; Pajek)'!$F$29,1)*'Tables (Gill &amp; Pajek)'!$J$4))</f>
        <v>0.04</v>
      </c>
      <c r="L17" s="15" t="str">
        <f>IF(Worksheet!$J21=0,NA(),IF(VLOOKUP(Worksheet!$D21,[0]!RadType_LU,2)&gt;0,VLOOKUP(Worksheet!$J21,[0]!CFM_Vent_Lookup_3oz,2,TRUE),CONCATENATE(FLOOR(Worksheet!$J21/'Tables (Gill &amp; Pajek)'!$G$30,1),"pcs #2s &amp; ",CEILING(MOD(Worksheet!$J21,'Tables (Gill &amp; Pajek)'!$G$30)/'Tables (Gill &amp; Pajek)'!$F$30,1),"pcs #1s")))</f>
        <v>#4</v>
      </c>
      <c r="M17" s="18">
        <f>IF(Worksheet!$J21=0,0,IF(VLOOKUP(Worksheet!$D21,[0]!RadType_LU,2)&gt;0,VLOOKUP(L17,[0]!Gorton_Caps,4,TRUE),FLOOR(Worksheet!$J21/'Tables (Gill &amp; Pajek)'!$G$30,1)*'Tables (Gill &amp; Pajek)'!$K$5+CEILING(MOD(Worksheet!$J21,'Tables (Gill &amp; Pajek)'!$G$30)/'Tables (Gill &amp; Pajek)'!$F$30,1)*'Tables (Gill &amp; Pajek)'!$K$4))</f>
        <v>5.5E-2</v>
      </c>
    </row>
    <row r="18" spans="1:13" ht="12" customHeight="1" x14ac:dyDescent="0.25">
      <c r="A18" s="2"/>
      <c r="B18" s="2"/>
      <c r="C18" s="2"/>
      <c r="D18" s="2"/>
      <c r="E18" s="2"/>
      <c r="F18" s="35" t="str">
        <f>Worksheet!A22</f>
        <v>-</v>
      </c>
      <c r="G18" s="39">
        <f>Worksheet!J22</f>
        <v>5.0000000000000001E-3</v>
      </c>
      <c r="H18" s="16" t="str">
        <f>IF(Worksheet!$J22=0,NA(),IF(VLOOKUP(Worksheet!$D22,[0]!RadType_LU,2)&gt;0,VLOOKUP(Worksheet!$J22,[0]!CFM_Vent_Lookup_1oz,2,TRUE),CONCATENATE(FLOOR(Worksheet!$J22/'Tables (Gill &amp; Pajek)'!$G$28,1),"pcs #2s &amp; ",CEILING(MOD(Worksheet!$J22,'Tables (Gill &amp; Pajek)'!$G$28)/'Tables (Gill &amp; Pajek)'!$F$28,1),"pcs #1s")))</f>
        <v>#4</v>
      </c>
      <c r="I18" s="21">
        <f>IF(Worksheet!$J22=0,0,IF(VLOOKUP(Worksheet!$D22,[0]!RadType_LU,2)&gt;0,VLOOKUP(H18,[0]!Gorton_Caps,2,TRUE),FLOOR(Worksheet!$J22/'Tables (Gill &amp; Pajek)'!$G$28,1)*'Tables (Gill &amp; Pajek)'!$I$5+CEILING(MOD(Worksheet!$J22,'Tables (Gill &amp; Pajek)'!$G$28)/'Tables (Gill &amp; Pajek)'!$F$28,1)*'Tables (Gill &amp; Pajek)'!$I$4))</f>
        <v>2.5000000000000001E-2</v>
      </c>
      <c r="J18" s="16" t="str">
        <f>IF(Worksheet!$J22=0,NA(),IF(VLOOKUP(Worksheet!$D22,[0]!RadType_LU,2)&gt;0,VLOOKUP(Worksheet!$J22,[0]!CFM_Vent_Lookup_2oz,2,TRUE),CONCATENATE(FLOOR(Worksheet!$J22/'Tables (Gill &amp; Pajek)'!$G$29,1),"pcs #2s &amp; ",CEILING(MOD(Worksheet!$J22,'Tables (Gill &amp; Pajek)'!$G$29)/'Tables (Gill &amp; Pajek)'!$F$29,1),"pcs #1s")))</f>
        <v>#4</v>
      </c>
      <c r="K18" s="21">
        <f>IF(Worksheet!$J22=0,0,IF(VLOOKUP(Worksheet!$D22,[0]!RadType_LU,2)&gt;0,VLOOKUP(J18,[0]!Gorton_Caps,3,TRUE),FLOOR(Worksheet!$J22/'Tables (Gill &amp; Pajek)'!$G$29,1)*'Tables (Gill &amp; Pajek)'!$J$5+CEILING(MOD(Worksheet!$J22,'Tables (Gill &amp; Pajek)'!$G$29)/'Tables (Gill &amp; Pajek)'!$F$29,1)*'Tables (Gill &amp; Pajek)'!$J$4))</f>
        <v>0.04</v>
      </c>
      <c r="L18" s="16" t="str">
        <f>IF(Worksheet!$J22=0,NA(),IF(VLOOKUP(Worksheet!$D22,[0]!RadType_LU,2)&gt;0,VLOOKUP(Worksheet!$J22,[0]!CFM_Vent_Lookup_3oz,2,TRUE),CONCATENATE(FLOOR(Worksheet!$J22/'Tables (Gill &amp; Pajek)'!$G$30,1),"pcs #2s &amp; ",CEILING(MOD(Worksheet!$J22,'Tables (Gill &amp; Pajek)'!$G$30)/'Tables (Gill &amp; Pajek)'!$F$30,1),"pcs #1s")))</f>
        <v>#4</v>
      </c>
      <c r="M18" s="21">
        <f>IF(Worksheet!$J22=0,0,IF(VLOOKUP(Worksheet!$D22,[0]!RadType_LU,2)&gt;0,VLOOKUP(L18,[0]!Gorton_Caps,4,TRUE),FLOOR(Worksheet!$J22/'Tables (Gill &amp; Pajek)'!$G$30,1)*'Tables (Gill &amp; Pajek)'!$K$5+CEILING(MOD(Worksheet!$J22,'Tables (Gill &amp; Pajek)'!$G$30)/'Tables (Gill &amp; Pajek)'!$F$30,1)*'Tables (Gill &amp; Pajek)'!$K$4))</f>
        <v>5.5E-2</v>
      </c>
    </row>
    <row r="19" spans="1:13" ht="12" customHeight="1" x14ac:dyDescent="0.25">
      <c r="F19" s="40"/>
      <c r="G19" s="40"/>
      <c r="H19" s="41" t="s">
        <v>81</v>
      </c>
      <c r="I19" s="42">
        <f>SUM(I3:I18)</f>
        <v>2.7899999999999996</v>
      </c>
      <c r="J19" s="40"/>
      <c r="K19" s="42">
        <f>SUM(K3:K18)</f>
        <v>3.92</v>
      </c>
      <c r="L19" s="40"/>
      <c r="M19" s="42">
        <f>SUM(M3:M18)</f>
        <v>3.6750000000000007</v>
      </c>
    </row>
    <row r="20" spans="1:13" ht="12" customHeight="1" x14ac:dyDescent="0.25">
      <c r="F20" s="40"/>
      <c r="G20" s="40"/>
      <c r="H20" s="41" t="s">
        <v>82</v>
      </c>
      <c r="I20" s="50">
        <f>Worksheet!$J$23</f>
        <v>3.195666666666666</v>
      </c>
      <c r="J20" s="44"/>
      <c r="K20" s="43">
        <f>Worksheet!$J$23</f>
        <v>3.195666666666666</v>
      </c>
      <c r="L20" s="44"/>
      <c r="M20" s="43">
        <f>Worksheet!$J$23</f>
        <v>3.195666666666666</v>
      </c>
    </row>
    <row r="21" spans="1:13" ht="12" customHeight="1" x14ac:dyDescent="0.25">
      <c r="F21" s="40"/>
      <c r="G21" s="40"/>
      <c r="H21" s="41" t="s">
        <v>83</v>
      </c>
      <c r="I21" s="42">
        <f>I19-I20</f>
        <v>-0.4056666666666664</v>
      </c>
      <c r="J21" s="44"/>
      <c r="K21" s="42">
        <f>K19-K20</f>
        <v>0.72433333333333394</v>
      </c>
      <c r="L21" s="44"/>
      <c r="M21" s="42">
        <f>M19-M20</f>
        <v>0.47933333333333472</v>
      </c>
    </row>
    <row r="22" spans="1:13" ht="12" customHeight="1" thickBot="1" x14ac:dyDescent="0.3">
      <c r="F22" s="40"/>
      <c r="G22" s="40"/>
      <c r="H22" s="45" t="s">
        <v>84</v>
      </c>
      <c r="I22" s="46">
        <f>I21/I20</f>
        <v>-0.12694273495358291</v>
      </c>
      <c r="J22" s="44"/>
      <c r="K22" s="46">
        <f>K21/K20</f>
        <v>0.22666110357776179</v>
      </c>
      <c r="L22" s="44"/>
      <c r="M22" s="46">
        <f>M21/M20</f>
        <v>0.14999478460415192</v>
      </c>
    </row>
    <row r="23" spans="1:13" ht="12" customHeight="1" x14ac:dyDescent="0.25">
      <c r="H23" s="33" t="s">
        <v>93</v>
      </c>
      <c r="I23" s="32" t="s">
        <v>94</v>
      </c>
      <c r="J23" s="33" t="s">
        <v>93</v>
      </c>
      <c r="K23" s="32" t="s">
        <v>94</v>
      </c>
      <c r="L23" s="33" t="s">
        <v>93</v>
      </c>
      <c r="M23" s="34" t="s">
        <v>94</v>
      </c>
    </row>
    <row r="24" spans="1:13" ht="12" customHeight="1" x14ac:dyDescent="0.25">
      <c r="H24" s="28" t="s">
        <v>2</v>
      </c>
      <c r="I24" s="30">
        <f>COUNTIF($H$3:$H$18,H24)</f>
        <v>4</v>
      </c>
      <c r="J24" s="28" t="s">
        <v>2</v>
      </c>
      <c r="K24" s="29">
        <f>COUNTIF($J$3:$J$18,J24)</f>
        <v>4</v>
      </c>
      <c r="L24" s="31" t="s">
        <v>2</v>
      </c>
      <c r="M24" s="29">
        <f>COUNTIF($L$5:$L$18,L24)</f>
        <v>5</v>
      </c>
    </row>
    <row r="25" spans="1:13" ht="12" customHeight="1" x14ac:dyDescent="0.25">
      <c r="H25" s="28" t="s">
        <v>3</v>
      </c>
      <c r="I25" s="30">
        <f>COUNTIF($H$3:$H$18,H25)</f>
        <v>1</v>
      </c>
      <c r="J25" s="28" t="s">
        <v>3</v>
      </c>
      <c r="K25" s="29">
        <f>COUNTIF($J$3:$J$18,J25)</f>
        <v>3</v>
      </c>
      <c r="L25" s="31" t="s">
        <v>3</v>
      </c>
      <c r="M25" s="29">
        <f>COUNTIF($L$5:$L$18,L25)</f>
        <v>5</v>
      </c>
    </row>
    <row r="26" spans="1:13" ht="12" customHeight="1" x14ac:dyDescent="0.25">
      <c r="H26" s="28" t="s">
        <v>4</v>
      </c>
      <c r="I26" s="30">
        <f>COUNTIF($H$3:$H$18,H26)</f>
        <v>4</v>
      </c>
      <c r="J26" s="28" t="s">
        <v>4</v>
      </c>
      <c r="K26" s="29">
        <f>COUNTIF($J$3:$J$18,J26)</f>
        <v>4</v>
      </c>
      <c r="L26" s="31" t="s">
        <v>4</v>
      </c>
      <c r="M26" s="29">
        <f>COUNTIF($L$5:$L$18,L26)</f>
        <v>4</v>
      </c>
    </row>
    <row r="27" spans="1:13" ht="12" customHeight="1" x14ac:dyDescent="0.25">
      <c r="H27" s="28" t="s">
        <v>6</v>
      </c>
      <c r="I27" s="30">
        <f>COUNTIF($H$3:$H$18,H27)</f>
        <v>5</v>
      </c>
      <c r="J27" s="28" t="s">
        <v>6</v>
      </c>
      <c r="K27" s="29">
        <f>COUNTIF($J$3:$J$18,J27)</f>
        <v>3</v>
      </c>
      <c r="L27" s="31" t="s">
        <v>6</v>
      </c>
      <c r="M27" s="29">
        <f>COUNTIF($L$5:$L$18,L27)</f>
        <v>0</v>
      </c>
    </row>
    <row r="28" spans="1:13" ht="12" customHeight="1" x14ac:dyDescent="0.25">
      <c r="H28" s="28" t="s">
        <v>31</v>
      </c>
      <c r="I28" s="30">
        <f>COUNTIF($H$3:$H$18,H28)</f>
        <v>2</v>
      </c>
      <c r="J28" s="28" t="s">
        <v>31</v>
      </c>
      <c r="K28" s="29">
        <f>COUNTIF($J$3:$J$18,J28)</f>
        <v>2</v>
      </c>
      <c r="L28" s="31" t="s">
        <v>31</v>
      </c>
      <c r="M28" s="29">
        <f>COUNTIF($L$5:$L$18,L28)</f>
        <v>0</v>
      </c>
    </row>
    <row r="29" spans="1:13" ht="12" customHeight="1" thickBot="1" x14ac:dyDescent="0.3">
      <c r="H29" s="62" t="s">
        <v>92</v>
      </c>
      <c r="I29" s="63"/>
      <c r="J29" s="62" t="s">
        <v>92</v>
      </c>
      <c r="K29" s="63"/>
      <c r="L29" s="62" t="s">
        <v>92</v>
      </c>
      <c r="M29" s="63"/>
    </row>
  </sheetData>
  <sheetProtection password="DD49" sheet="1" objects="1" scenarios="1" selectLockedCells="1"/>
  <mergeCells count="3">
    <mergeCell ref="H29:I29"/>
    <mergeCell ref="J29:K29"/>
    <mergeCell ref="L29:M29"/>
  </mergeCells>
  <pageMargins left="0.7" right="0.7" top="0.75" bottom="0.75" header="0.3" footer="0.3"/>
  <pageSetup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/>
  </sheetViews>
  <sheetFormatPr defaultRowHeight="15" x14ac:dyDescent="0.25"/>
  <cols>
    <col min="1" max="1" width="18.7109375" customWidth="1"/>
    <col min="5" max="5" width="6.28515625" customWidth="1"/>
    <col min="6" max="6" width="16.5703125" customWidth="1"/>
    <col min="7" max="7" width="22.85546875" customWidth="1"/>
    <col min="8" max="8" width="6.42578125" customWidth="1"/>
    <col min="9" max="9" width="22.28515625" customWidth="1"/>
    <col min="10" max="10" width="6.42578125" customWidth="1"/>
    <col min="11" max="11" width="23" customWidth="1"/>
    <col min="12" max="12" width="6.42578125" customWidth="1"/>
  </cols>
  <sheetData>
    <row r="1" spans="1:12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11" t="s">
        <v>70</v>
      </c>
      <c r="B2" s="2"/>
      <c r="C2" s="2"/>
      <c r="D2" s="2"/>
      <c r="E2" s="2"/>
      <c r="F2" s="13" t="s">
        <v>56</v>
      </c>
      <c r="G2" s="13" t="s">
        <v>47</v>
      </c>
      <c r="H2" s="13" t="s">
        <v>80</v>
      </c>
      <c r="I2" s="13" t="s">
        <v>48</v>
      </c>
      <c r="J2" s="13" t="s">
        <v>80</v>
      </c>
      <c r="K2" s="13" t="s">
        <v>49</v>
      </c>
      <c r="L2" s="20" t="s">
        <v>80</v>
      </c>
    </row>
    <row r="3" spans="1:12" x14ac:dyDescent="0.25">
      <c r="A3" s="2" t="s">
        <v>71</v>
      </c>
      <c r="B3" s="2"/>
      <c r="C3" s="2"/>
      <c r="D3" s="2"/>
      <c r="E3" s="2"/>
      <c r="F3" s="14" t="str">
        <f>Worksheet!A7</f>
        <v>MAIN 1</v>
      </c>
      <c r="G3" s="15">
        <f>IF(Worksheet!$J7=0,NA(),IF(VLOOKUP(Worksheet!$D7,[0]!RadType_LU,2)&gt;0,VLOOKUP(Worksheet!$J7,[0]!CFM_Vent_Lookup_Hoff1A_1oz,2,TRUE),CONCATENATE(FLOOR(Worksheet!$J7/'Tables (Gill &amp; Pajek)'!$G$28,1),"pcs #2s &amp; ",CEILING(MOD(Worksheet!$J7,'Tables (Gill &amp; Pajek)'!$G$28)/'Tables (Gill &amp; Pajek)'!$F$28,1),"pcs #1s (Gorton)")))</f>
        <v>6</v>
      </c>
      <c r="H3" s="18">
        <f>IF(Worksheet!$J7=0,0,IF(VLOOKUP(Worksheet!$D7,[0]!RadType_LU,2)&gt;0,VLOOKUP(G3,[0]!Hoffman_Caps,2,TRUE),FLOOR(Worksheet!$J7/'Tables (Gill &amp; Pajek)'!$G$28,1)*'Tables (Gill &amp; Pajek)'!$I$5+CEILING(MOD(Worksheet!$J7,'Tables (Gill &amp; Pajek)'!$G$28)/'Tables (Gill &amp; Pajek)'!$F$28,1)*'Tables (Gill &amp; Pajek)'!$I$4))</f>
        <v>0.14499999999999999</v>
      </c>
      <c r="I3" s="15">
        <f>IF(Worksheet!$J7=0,NA(),IF(VLOOKUP(Worksheet!$D7,[0]!RadType_LU,2)&gt;0,VLOOKUP(Worksheet!$J7,[0]!CFM_Vent_Lookup_Hoff1A_2oz,2,TRUE),CONCATENATE(FLOOR(Worksheet!$J7/'Tables (Gill &amp; Pajek)'!$G$28,1),"pcs #2s &amp; ",CEILING(MOD(Worksheet!$J7,'Tables (Gill &amp; Pajek)'!$G$28)/'Tables (Gill &amp; Pajek)'!$F$28,1),"pcs #1s (Gorton)")))</f>
        <v>6</v>
      </c>
      <c r="J3" s="18">
        <f>IF(Worksheet!$J7=0,0,IF(VLOOKUP(Worksheet!$D7,[0]!RadType_LU,2)&gt;0,VLOOKUP(I3,[0]!Hoffman_Caps,3,TRUE),FLOOR(Worksheet!$J7/'Tables (Gill &amp; Pajek)'!$G$29,1)*'Tables (Gill &amp; Pajek)'!$J$5+CEILING(MOD(Worksheet!$J7,'Tables (Gill &amp; Pajek)'!$G$29)/'Tables (Gill &amp; Pajek)'!$F$29,1)*'Tables (Gill &amp; Pajek)'!$J$4))</f>
        <v>0.22500000000000001</v>
      </c>
      <c r="K3" s="15">
        <f>IF(Worksheet!$J7=0,NA(),IF(VLOOKUP(Worksheet!$D7,[0]!RadType_LU,2)&gt;0,VLOOKUP(Worksheet!$J7,[0]!CFM_Vent_Lookup_Hoff1A_3oz,2,TRUE),CONCATENATE(FLOOR(Worksheet!$J7/'Tables (Gill &amp; Pajek)'!$G$28,1),"pcs #2s &amp; ",CEILING(MOD(Worksheet!$J7,'Tables (Gill &amp; Pajek)'!$G$28)/'Tables (Gill &amp; Pajek)'!$F$28,1),"pcs #1s (Gorton)")))</f>
        <v>6</v>
      </c>
      <c r="L3" s="18">
        <f>IF(Worksheet!$J7=0,0,IF(VLOOKUP(Worksheet!$D7,[0]!RadType_LU,2)&gt;0,VLOOKUP(K3,[0]!Hoffman_Caps,4,TRUE),FLOOR(Worksheet!$J7/'Tables (Gill &amp; Pajek)'!$G$30,1)*'Tables (Gill &amp; Pajek)'!$K$5+CEILING(MOD(Worksheet!$J7,'Tables (Gill &amp; Pajek)'!$G$30)/'Tables (Gill &amp; Pajek)'!$F$30,1)*'Tables (Gill &amp; Pajek)'!$K$4))</f>
        <v>0.3</v>
      </c>
    </row>
    <row r="4" spans="1:12" x14ac:dyDescent="0.25">
      <c r="A4" s="2"/>
      <c r="B4" s="2"/>
      <c r="C4" s="2"/>
      <c r="D4" s="2"/>
      <c r="E4" s="2"/>
      <c r="F4" s="13" t="str">
        <f>Worksheet!A8</f>
        <v>MAIN 2</v>
      </c>
      <c r="G4" s="16">
        <f>IF(Worksheet!$J8=0,NA(),IF(VLOOKUP(Worksheet!$D8,[0]!RadType_LU,2)&gt;0,VLOOKUP(Worksheet!$J8,[0]!CFM_Vent_Lookup_Hoff1A_1oz,2,TRUE),CONCATENATE(FLOOR(Worksheet!$J8/'Tables (Gill &amp; Pajek)'!$G$28,1),"pcs #2s &amp; ",CEILING(MOD(Worksheet!$J8,'Tables (Gill &amp; Pajek)'!$G$28)/'Tables (Gill &amp; Pajek)'!$F$28,1),"pcs #1s (Gorton)")))</f>
        <v>6</v>
      </c>
      <c r="H4" s="21">
        <f>IF(Worksheet!$J8=0,0,IF(VLOOKUP(Worksheet!$D8,[0]!RadType_LU,2)&gt;0,VLOOKUP(G4,[0]!Hoffman_Caps,2,TRUE),FLOOR(Worksheet!$J8/'Tables (Gill &amp; Pajek)'!$G$28,1)*'Tables (Gill &amp; Pajek)'!$I$5+CEILING(MOD(Worksheet!$J8,'Tables (Gill &amp; Pajek)'!$G$28)/'Tables (Gill &amp; Pajek)'!$F$28,1)*'Tables (Gill &amp; Pajek)'!$I$4))</f>
        <v>0.14499999999999999</v>
      </c>
      <c r="I4" s="16">
        <f>IF(Worksheet!$J8=0,NA(),IF(VLOOKUP(Worksheet!$D8,[0]!RadType_LU,2)&gt;0,VLOOKUP(Worksheet!$J8,[0]!CFM_Vent_Lookup_Hoff1A_2oz,2,TRUE),CONCATENATE(FLOOR(Worksheet!$J8/'Tables (Gill &amp; Pajek)'!$G$28,1),"pcs #2s &amp; ",CEILING(MOD(Worksheet!$J8,'Tables (Gill &amp; Pajek)'!$G$28)/'Tables (Gill &amp; Pajek)'!$F$28,1),"pcs #1s (Gorton)")))</f>
        <v>6</v>
      </c>
      <c r="J4" s="21">
        <f>IF(Worksheet!$J8=0,0,IF(VLOOKUP(Worksheet!$D8,[0]!RadType_LU,2)&gt;0,VLOOKUP(I4,[0]!Hoffman_Caps,3,TRUE),FLOOR(Worksheet!$J8/'Tables (Gill &amp; Pajek)'!$G$29,1)*'Tables (Gill &amp; Pajek)'!$J$5+CEILING(MOD(Worksheet!$J8,'Tables (Gill &amp; Pajek)'!$G$29)/'Tables (Gill &amp; Pajek)'!$F$29,1)*'Tables (Gill &amp; Pajek)'!$J$4))</f>
        <v>0.22500000000000001</v>
      </c>
      <c r="K4" s="16">
        <f>IF(Worksheet!$J8=0,NA(),IF(VLOOKUP(Worksheet!$D8,[0]!RadType_LU,2)&gt;0,VLOOKUP(Worksheet!$J8,[0]!CFM_Vent_Lookup_Hoff1A_3oz,2,TRUE),CONCATENATE(FLOOR(Worksheet!$J8/'Tables (Gill &amp; Pajek)'!$G$28,1),"pcs #2s &amp; ",CEILING(MOD(Worksheet!$J8,'Tables (Gill &amp; Pajek)'!$G$28)/'Tables (Gill &amp; Pajek)'!$F$28,1),"pcs #1s (Gorton)")))</f>
        <v>6</v>
      </c>
      <c r="L4" s="21">
        <f>IF(Worksheet!$J8=0,0,IF(VLOOKUP(Worksheet!$D8,[0]!RadType_LU,2)&gt;0,VLOOKUP(K4,[0]!Hoffman_Caps,4,TRUE),FLOOR(Worksheet!$J8/'Tables (Gill &amp; Pajek)'!$G$30,1)*'Tables (Gill &amp; Pajek)'!$K$5+CEILING(MOD(Worksheet!$J8,'Tables (Gill &amp; Pajek)'!$G$30)/'Tables (Gill &amp; Pajek)'!$F$30,1)*'Tables (Gill &amp; Pajek)'!$K$4))</f>
        <v>0.3</v>
      </c>
    </row>
    <row r="5" spans="1:12" x14ac:dyDescent="0.25">
      <c r="A5" s="2"/>
      <c r="B5" s="2"/>
      <c r="C5" s="2"/>
      <c r="D5" s="2"/>
      <c r="E5" s="2"/>
      <c r="F5" s="14" t="str">
        <f>Worksheet!A9</f>
        <v>Living</v>
      </c>
      <c r="G5" s="15">
        <f>IF(Worksheet!$J9=0,NA(),IF(VLOOKUP(Worksheet!$D9,[0]!RadType_LU,2)&gt;0,VLOOKUP(Worksheet!$J9,[0]!CFM_Vent_Lookup_Hoff1A_1oz,2,TRUE),CONCATENATE(FLOOR(Worksheet!$J9/'Tables (Gill &amp; Pajek)'!$G$28,1),"pcs #2s &amp; ",CEILING(MOD(Worksheet!$J9,'Tables (Gill &amp; Pajek)'!$G$28)/'Tables (Gill &amp; Pajek)'!$F$28,1),"pcs #1s (Gorton)")))</f>
        <v>6</v>
      </c>
      <c r="H5" s="18">
        <f>IF(Worksheet!$J9=0,0,IF(VLOOKUP(Worksheet!$D9,[0]!RadType_LU,2)&gt;0,VLOOKUP(G5,[0]!Hoffman_Caps,2,TRUE),FLOOR(Worksheet!$J9/'Tables (Gill &amp; Pajek)'!$G$28,1)*'Tables (Gill &amp; Pajek)'!$I$5+CEILING(MOD(Worksheet!$J9,'Tables (Gill &amp; Pajek)'!$G$28)/'Tables (Gill &amp; Pajek)'!$F$28,1)*'Tables (Gill &amp; Pajek)'!$I$4))</f>
        <v>0.14499999999999999</v>
      </c>
      <c r="I5" s="15">
        <f>IF(Worksheet!$J9=0,NA(),IF(VLOOKUP(Worksheet!$D9,[0]!RadType_LU,2)&gt;0,VLOOKUP(Worksheet!$J9,[0]!CFM_Vent_Lookup_Hoff1A_2oz,2,TRUE),CONCATENATE(FLOOR(Worksheet!$J9/'Tables (Gill &amp; Pajek)'!$G$28,1),"pcs #2s &amp; ",CEILING(MOD(Worksheet!$J9,'Tables (Gill &amp; Pajek)'!$G$28)/'Tables (Gill &amp; Pajek)'!$F$28,1),"pcs #1s (Gorton)")))</f>
        <v>6</v>
      </c>
      <c r="J5" s="18">
        <f>IF(Worksheet!$J9=0,0,IF(VLOOKUP(Worksheet!$D9,[0]!RadType_LU,2)&gt;0,VLOOKUP(I5,[0]!Hoffman_Caps,3,TRUE),FLOOR(Worksheet!$J9/'Tables (Gill &amp; Pajek)'!$G$29,1)*'Tables (Gill &amp; Pajek)'!$J$5+CEILING(MOD(Worksheet!$J9,'Tables (Gill &amp; Pajek)'!$G$29)/'Tables (Gill &amp; Pajek)'!$F$29,1)*'Tables (Gill &amp; Pajek)'!$J$4))</f>
        <v>0.22500000000000001</v>
      </c>
      <c r="K5" s="15">
        <f>IF(Worksheet!$J9=0,NA(),IF(VLOOKUP(Worksheet!$D9,[0]!RadType_LU,2)&gt;0,VLOOKUP(Worksheet!$J9,[0]!CFM_Vent_Lookup_Hoff1A_3oz,2,TRUE),CONCATENATE(FLOOR(Worksheet!$J9/'Tables (Gill &amp; Pajek)'!$G$28,1),"pcs #2s &amp; ",CEILING(MOD(Worksheet!$J9,'Tables (Gill &amp; Pajek)'!$G$28)/'Tables (Gill &amp; Pajek)'!$F$28,1),"pcs #1s (Gorton)")))</f>
        <v>5</v>
      </c>
      <c r="L5" s="18">
        <f>IF(Worksheet!$J9=0,0,IF(VLOOKUP(Worksheet!$D9,[0]!RadType_LU,2)&gt;0,VLOOKUP(K5,[0]!Hoffman_Caps,4,TRUE),FLOOR(Worksheet!$J9/'Tables (Gill &amp; Pajek)'!$G$30,1)*'Tables (Gill &amp; Pajek)'!$K$5+CEILING(MOD(Worksheet!$J9,'Tables (Gill &amp; Pajek)'!$G$30)/'Tables (Gill &amp; Pajek)'!$F$30,1)*'Tables (Gill &amp; Pajek)'!$K$4))</f>
        <v>0.28999999999999998</v>
      </c>
    </row>
    <row r="6" spans="1:12" x14ac:dyDescent="0.25">
      <c r="A6" s="2"/>
      <c r="B6" s="2"/>
      <c r="C6" s="2"/>
      <c r="D6" s="2"/>
      <c r="E6" s="2"/>
      <c r="F6" s="13" t="str">
        <f>Worksheet!A10</f>
        <v>Den</v>
      </c>
      <c r="G6" s="16">
        <f>IF(Worksheet!$J10=0,NA(),IF(VLOOKUP(Worksheet!$D10,[0]!RadType_LU,2)&gt;0,VLOOKUP(Worksheet!$J10,[0]!CFM_Vent_Lookup_Hoff1A_1oz,2,TRUE),CONCATENATE(FLOOR(Worksheet!$J10/'Tables (Gill &amp; Pajek)'!$G$28,1),"pcs #2s &amp; ",CEILING(MOD(Worksheet!$J10,'Tables (Gill &amp; Pajek)'!$G$28)/'Tables (Gill &amp; Pajek)'!$F$28,1),"pcs #1s (Gorton)")))</f>
        <v>5</v>
      </c>
      <c r="H6" s="21">
        <f>IF(Worksheet!$J10=0,0,IF(VLOOKUP(Worksheet!$D10,[0]!RadType_LU,2)&gt;0,VLOOKUP(G6,[0]!Hoffman_Caps,2,TRUE),FLOOR(Worksheet!$J10/'Tables (Gill &amp; Pajek)'!$G$28,1)*'Tables (Gill &amp; Pajek)'!$I$5+CEILING(MOD(Worksheet!$J10,'Tables (Gill &amp; Pajek)'!$G$28)/'Tables (Gill &amp; Pajek)'!$F$28,1)*'Tables (Gill &amp; Pajek)'!$I$4))</f>
        <v>0.14000000000000001</v>
      </c>
      <c r="I6" s="16">
        <f>IF(Worksheet!$J10=0,NA(),IF(VLOOKUP(Worksheet!$D10,[0]!RadType_LU,2)&gt;0,VLOOKUP(Worksheet!$J10,[0]!CFM_Vent_Lookup_Hoff1A_2oz,2,TRUE),CONCATENATE(FLOOR(Worksheet!$J10/'Tables (Gill &amp; Pajek)'!$G$28,1),"pcs #2s &amp; ",CEILING(MOD(Worksheet!$J10,'Tables (Gill &amp; Pajek)'!$G$28)/'Tables (Gill &amp; Pajek)'!$F$28,1),"pcs #1s (Gorton)")))</f>
        <v>3</v>
      </c>
      <c r="J6" s="21">
        <f>IF(Worksheet!$J10=0,0,IF(VLOOKUP(Worksheet!$D10,[0]!RadType_LU,2)&gt;0,VLOOKUP(I6,[0]!Hoffman_Caps,3,TRUE),FLOOR(Worksheet!$J10/'Tables (Gill &amp; Pajek)'!$G$29,1)*'Tables (Gill &amp; Pajek)'!$J$5+CEILING(MOD(Worksheet!$J10,'Tables (Gill &amp; Pajek)'!$G$29)/'Tables (Gill &amp; Pajek)'!$F$29,1)*'Tables (Gill &amp; Pajek)'!$J$4))</f>
        <v>0.158</v>
      </c>
      <c r="K6" s="16">
        <f>IF(Worksheet!$J10=0,NA(),IF(VLOOKUP(Worksheet!$D10,[0]!RadType_LU,2)&gt;0,VLOOKUP(Worksheet!$J10,[0]!CFM_Vent_Lookup_Hoff1A_3oz,2,TRUE),CONCATENATE(FLOOR(Worksheet!$J10/'Tables (Gill &amp; Pajek)'!$G$28,1),"pcs #2s &amp; ",CEILING(MOD(Worksheet!$J10,'Tables (Gill &amp; Pajek)'!$G$28)/'Tables (Gill &amp; Pajek)'!$F$28,1),"pcs #1s (Gorton)")))</f>
        <v>3</v>
      </c>
      <c r="L6" s="21">
        <f>IF(Worksheet!$J10=0,0,IF(VLOOKUP(Worksheet!$D10,[0]!RadType_LU,2)&gt;0,VLOOKUP(K6,[0]!Hoffman_Caps,4,TRUE),FLOOR(Worksheet!$J10/'Tables (Gill &amp; Pajek)'!$G$30,1)*'Tables (Gill &amp; Pajek)'!$K$5+CEILING(MOD(Worksheet!$J10,'Tables (Gill &amp; Pajek)'!$G$30)/'Tables (Gill &amp; Pajek)'!$F$30,1)*'Tables (Gill &amp; Pajek)'!$K$4))</f>
        <v>0.2</v>
      </c>
    </row>
    <row r="7" spans="1:12" x14ac:dyDescent="0.25">
      <c r="A7" s="2"/>
      <c r="B7" s="2"/>
      <c r="C7" s="2"/>
      <c r="D7" s="2"/>
      <c r="E7" s="2"/>
      <c r="F7" s="14" t="str">
        <f>Worksheet!A11</f>
        <v>Dining</v>
      </c>
      <c r="G7" s="15">
        <f>IF(Worksheet!$J11=0,NA(),IF(VLOOKUP(Worksheet!$D11,[0]!RadType_LU,2)&gt;0,VLOOKUP(Worksheet!$J11,[0]!CFM_Vent_Lookup_Hoff1A_1oz,2,TRUE),CONCATENATE(FLOOR(Worksheet!$J11/'Tables (Gill &amp; Pajek)'!$G$28,1),"pcs #2s &amp; ",CEILING(MOD(Worksheet!$J11,'Tables (Gill &amp; Pajek)'!$G$28)/'Tables (Gill &amp; Pajek)'!$F$28,1),"pcs #1s (Gorton)")))</f>
        <v>6</v>
      </c>
      <c r="H7" s="18">
        <f>IF(Worksheet!$J11=0,0,IF(VLOOKUP(Worksheet!$D11,[0]!RadType_LU,2)&gt;0,VLOOKUP(G7,[0]!Hoffman_Caps,2,TRUE),FLOOR(Worksheet!$J11/'Tables (Gill &amp; Pajek)'!$G$28,1)*'Tables (Gill &amp; Pajek)'!$I$5+CEILING(MOD(Worksheet!$J11,'Tables (Gill &amp; Pajek)'!$G$28)/'Tables (Gill &amp; Pajek)'!$F$28,1)*'Tables (Gill &amp; Pajek)'!$I$4))</f>
        <v>0.14499999999999999</v>
      </c>
      <c r="I7" s="15">
        <f>IF(Worksheet!$J11=0,NA(),IF(VLOOKUP(Worksheet!$D11,[0]!RadType_LU,2)&gt;0,VLOOKUP(Worksheet!$J11,[0]!CFM_Vent_Lookup_Hoff1A_2oz,2,TRUE),CONCATENATE(FLOOR(Worksheet!$J11/'Tables (Gill &amp; Pajek)'!$G$28,1),"pcs #2s &amp; ",CEILING(MOD(Worksheet!$J11,'Tables (Gill &amp; Pajek)'!$G$28)/'Tables (Gill &amp; Pajek)'!$F$28,1),"pcs #1s (Gorton)")))</f>
        <v>6</v>
      </c>
      <c r="J7" s="18">
        <f>IF(Worksheet!$J11=0,0,IF(VLOOKUP(Worksheet!$D11,[0]!RadType_LU,2)&gt;0,VLOOKUP(I7,[0]!Hoffman_Caps,3,TRUE),FLOOR(Worksheet!$J11/'Tables (Gill &amp; Pajek)'!$G$29,1)*'Tables (Gill &amp; Pajek)'!$J$5+CEILING(MOD(Worksheet!$J11,'Tables (Gill &amp; Pajek)'!$G$29)/'Tables (Gill &amp; Pajek)'!$F$29,1)*'Tables (Gill &amp; Pajek)'!$J$4))</f>
        <v>0.22500000000000001</v>
      </c>
      <c r="K7" s="15">
        <f>IF(Worksheet!$J11=0,NA(),IF(VLOOKUP(Worksheet!$D11,[0]!RadType_LU,2)&gt;0,VLOOKUP(Worksheet!$J11,[0]!CFM_Vent_Lookup_Hoff1A_3oz,2,TRUE),CONCATENATE(FLOOR(Worksheet!$J11/'Tables (Gill &amp; Pajek)'!$G$28,1),"pcs #2s &amp; ",CEILING(MOD(Worksheet!$J11,'Tables (Gill &amp; Pajek)'!$G$28)/'Tables (Gill &amp; Pajek)'!$F$28,1),"pcs #1s (Gorton)")))</f>
        <v>5</v>
      </c>
      <c r="L7" s="18">
        <f>IF(Worksheet!$J11=0,0,IF(VLOOKUP(Worksheet!$D11,[0]!RadType_LU,2)&gt;0,VLOOKUP(K7,[0]!Hoffman_Caps,4,TRUE),FLOOR(Worksheet!$J11/'Tables (Gill &amp; Pajek)'!$G$30,1)*'Tables (Gill &amp; Pajek)'!$K$5+CEILING(MOD(Worksheet!$J11,'Tables (Gill &amp; Pajek)'!$G$30)/'Tables (Gill &amp; Pajek)'!$F$30,1)*'Tables (Gill &amp; Pajek)'!$K$4))</f>
        <v>0.28999999999999998</v>
      </c>
    </row>
    <row r="8" spans="1:12" x14ac:dyDescent="0.25">
      <c r="A8" s="4" t="s">
        <v>60</v>
      </c>
      <c r="B8" s="2"/>
      <c r="C8" s="2"/>
      <c r="D8" s="2"/>
      <c r="E8" s="2"/>
      <c r="F8" s="13" t="str">
        <f>Worksheet!A12</f>
        <v>Kitchen</v>
      </c>
      <c r="G8" s="16">
        <f>IF(Worksheet!$J12=0,NA(),IF(VLOOKUP(Worksheet!$D12,[0]!RadType_LU,2)&gt;0,VLOOKUP(Worksheet!$J12,[0]!CFM_Vent_Lookup_Hoff1A_1oz,2,TRUE),CONCATENATE(FLOOR(Worksheet!$J12/'Tables (Gill &amp; Pajek)'!$G$28,1),"pcs #2s &amp; ",CEILING(MOD(Worksheet!$J12,'Tables (Gill &amp; Pajek)'!$G$28)/'Tables (Gill &amp; Pajek)'!$F$28,1),"pcs #1s (Gorton)")))</f>
        <v>6</v>
      </c>
      <c r="H8" s="21">
        <f>IF(Worksheet!$J12=0,0,IF(VLOOKUP(Worksheet!$D12,[0]!RadType_LU,2)&gt;0,VLOOKUP(G8,[0]!Hoffman_Caps,2,TRUE),FLOOR(Worksheet!$J12/'Tables (Gill &amp; Pajek)'!$G$28,1)*'Tables (Gill &amp; Pajek)'!$I$5+CEILING(MOD(Worksheet!$J12,'Tables (Gill &amp; Pajek)'!$G$28)/'Tables (Gill &amp; Pajek)'!$F$28,1)*'Tables (Gill &amp; Pajek)'!$I$4))</f>
        <v>0.14499999999999999</v>
      </c>
      <c r="I8" s="16">
        <f>IF(Worksheet!$J12=0,NA(),IF(VLOOKUP(Worksheet!$D12,[0]!RadType_LU,2)&gt;0,VLOOKUP(Worksheet!$J12,[0]!CFM_Vent_Lookup_Hoff1A_2oz,2,TRUE),CONCATENATE(FLOOR(Worksheet!$J12/'Tables (Gill &amp; Pajek)'!$G$28,1),"pcs #2s &amp; ",CEILING(MOD(Worksheet!$J12,'Tables (Gill &amp; Pajek)'!$G$28)/'Tables (Gill &amp; Pajek)'!$F$28,1),"pcs #1s (Gorton)")))</f>
        <v>6</v>
      </c>
      <c r="J8" s="21">
        <f>IF(Worksheet!$J12=0,0,IF(VLOOKUP(Worksheet!$D12,[0]!RadType_LU,2)&gt;0,VLOOKUP(I8,[0]!Hoffman_Caps,3,TRUE),FLOOR(Worksheet!$J12/'Tables (Gill &amp; Pajek)'!$G$29,1)*'Tables (Gill &amp; Pajek)'!$J$5+CEILING(MOD(Worksheet!$J12,'Tables (Gill &amp; Pajek)'!$G$29)/'Tables (Gill &amp; Pajek)'!$F$29,1)*'Tables (Gill &amp; Pajek)'!$J$4))</f>
        <v>0.22500000000000001</v>
      </c>
      <c r="K8" s="16">
        <f>IF(Worksheet!$J12=0,NA(),IF(VLOOKUP(Worksheet!$D12,[0]!RadType_LU,2)&gt;0,VLOOKUP(Worksheet!$J12,[0]!CFM_Vent_Lookup_Hoff1A_3oz,2,TRUE),CONCATENATE(FLOOR(Worksheet!$J12/'Tables (Gill &amp; Pajek)'!$G$28,1),"pcs #2s &amp; ",CEILING(MOD(Worksheet!$J12,'Tables (Gill &amp; Pajek)'!$G$28)/'Tables (Gill &amp; Pajek)'!$F$28,1),"pcs #1s (Gorton)")))</f>
        <v>5</v>
      </c>
      <c r="L8" s="21">
        <f>IF(Worksheet!$J12=0,0,IF(VLOOKUP(Worksheet!$D12,[0]!RadType_LU,2)&gt;0,VLOOKUP(K8,[0]!Hoffman_Caps,4,TRUE),FLOOR(Worksheet!$J12/'Tables (Gill &amp; Pajek)'!$G$30,1)*'Tables (Gill &amp; Pajek)'!$K$5+CEILING(MOD(Worksheet!$J12,'Tables (Gill &amp; Pajek)'!$G$30)/'Tables (Gill &amp; Pajek)'!$F$30,1)*'Tables (Gill &amp; Pajek)'!$K$4))</f>
        <v>0.28999999999999998</v>
      </c>
    </row>
    <row r="9" spans="1:12" x14ac:dyDescent="0.25">
      <c r="A9" s="2" t="s">
        <v>72</v>
      </c>
      <c r="B9" s="2"/>
      <c r="C9" s="2"/>
      <c r="D9" s="2"/>
      <c r="E9" s="2"/>
      <c r="F9" s="14" t="str">
        <f>Worksheet!A13</f>
        <v>Half Bath</v>
      </c>
      <c r="G9" s="15">
        <f>IF(Worksheet!$J13=0,NA(),IF(VLOOKUP(Worksheet!$D13,[0]!RadType_LU,2)&gt;0,VLOOKUP(Worksheet!$J13,[0]!CFM_Vent_Lookup_Hoff1A_1oz,2,TRUE),CONCATENATE(FLOOR(Worksheet!$J13/'Tables (Gill &amp; Pajek)'!$G$28,1),"pcs #2s &amp; ",CEILING(MOD(Worksheet!$J13,'Tables (Gill &amp; Pajek)'!$G$28)/'Tables (Gill &amp; Pajek)'!$F$28,1),"pcs #1s (Gorton)")))</f>
        <v>3</v>
      </c>
      <c r="H9" s="18">
        <f>IF(Worksheet!$J13=0,0,IF(VLOOKUP(Worksheet!$D13,[0]!RadType_LU,2)&gt;0,VLOOKUP(G9,[0]!Hoffman_Caps,2,TRUE),FLOOR(Worksheet!$J13/'Tables (Gill &amp; Pajek)'!$G$28,1)*'Tables (Gill &amp; Pajek)'!$I$5+CEILING(MOD(Worksheet!$J13,'Tables (Gill &amp; Pajek)'!$G$28)/'Tables (Gill &amp; Pajek)'!$F$28,1)*'Tables (Gill &amp; Pajek)'!$I$4))</f>
        <v>0.1</v>
      </c>
      <c r="I9" s="15">
        <f>IF(Worksheet!$J13=0,NA(),IF(VLOOKUP(Worksheet!$D13,[0]!RadType_LU,2)&gt;0,VLOOKUP(Worksheet!$J13,[0]!CFM_Vent_Lookup_Hoff1A_2oz,2,TRUE),CONCATENATE(FLOOR(Worksheet!$J13/'Tables (Gill &amp; Pajek)'!$G$28,1),"pcs #2s &amp; ",CEILING(MOD(Worksheet!$J13,'Tables (Gill &amp; Pajek)'!$G$28)/'Tables (Gill &amp; Pajek)'!$F$28,1),"pcs #1s (Gorton)")))</f>
        <v>3</v>
      </c>
      <c r="J9" s="18">
        <f>IF(Worksheet!$J13=0,0,IF(VLOOKUP(Worksheet!$D13,[0]!RadType_LU,2)&gt;0,VLOOKUP(I9,[0]!Hoffman_Caps,3,TRUE),FLOOR(Worksheet!$J13/'Tables (Gill &amp; Pajek)'!$G$29,1)*'Tables (Gill &amp; Pajek)'!$J$5+CEILING(MOD(Worksheet!$J13,'Tables (Gill &amp; Pajek)'!$G$29)/'Tables (Gill &amp; Pajek)'!$F$29,1)*'Tables (Gill &amp; Pajek)'!$J$4))</f>
        <v>0.158</v>
      </c>
      <c r="K9" s="15">
        <f>IF(Worksheet!$J13=0,NA(),IF(VLOOKUP(Worksheet!$D13,[0]!RadType_LU,2)&gt;0,VLOOKUP(Worksheet!$J13,[0]!CFM_Vent_Lookup_Hoff1A_3oz,2,TRUE),CONCATENATE(FLOOR(Worksheet!$J13/'Tables (Gill &amp; Pajek)'!$G$28,1),"pcs #2s &amp; ",CEILING(MOD(Worksheet!$J13,'Tables (Gill &amp; Pajek)'!$G$28)/'Tables (Gill &amp; Pajek)'!$F$28,1),"pcs #1s (Gorton)")))</f>
        <v>2</v>
      </c>
      <c r="L9" s="18">
        <f>IF(Worksheet!$J13=0,0,IF(VLOOKUP(Worksheet!$D13,[0]!RadType_LU,2)&gt;0,VLOOKUP(K9,[0]!Hoffman_Caps,4,TRUE),FLOOR(Worksheet!$J13/'Tables (Gill &amp; Pajek)'!$G$30,1)*'Tables (Gill &amp; Pajek)'!$K$5+CEILING(MOD(Worksheet!$J13,'Tables (Gill &amp; Pajek)'!$G$30)/'Tables (Gill &amp; Pajek)'!$F$30,1)*'Tables (Gill &amp; Pajek)'!$K$4))</f>
        <v>5.6000000000000001E-2</v>
      </c>
    </row>
    <row r="10" spans="1:12" x14ac:dyDescent="0.25">
      <c r="A10" s="2" t="s">
        <v>73</v>
      </c>
      <c r="B10" s="2"/>
      <c r="C10" s="2"/>
      <c r="D10" s="2"/>
      <c r="E10" s="2"/>
      <c r="F10" s="13" t="str">
        <f>Worksheet!A14</f>
        <v>Guest</v>
      </c>
      <c r="G10" s="16">
        <f>IF(Worksheet!$J14=0,NA(),IF(VLOOKUP(Worksheet!$D14,[0]!RadType_LU,2)&gt;0,VLOOKUP(Worksheet!$J14,[0]!CFM_Vent_Lookup_Hoff1A_1oz,2,TRUE),CONCATENATE(FLOOR(Worksheet!$J14/'Tables (Gill &amp; Pajek)'!$G$28,1),"pcs #2s &amp; ",CEILING(MOD(Worksheet!$J14,'Tables (Gill &amp; Pajek)'!$G$28)/'Tables (Gill &amp; Pajek)'!$F$28,1),"pcs #1s (Gorton)")))</f>
        <v>6</v>
      </c>
      <c r="H10" s="21">
        <f>IF(Worksheet!$J14=0,0,IF(VLOOKUP(Worksheet!$D14,[0]!RadType_LU,2)&gt;0,VLOOKUP(G10,[0]!Hoffman_Caps,2,TRUE),FLOOR(Worksheet!$J14/'Tables (Gill &amp; Pajek)'!$G$28,1)*'Tables (Gill &amp; Pajek)'!$I$5+CEILING(MOD(Worksheet!$J14,'Tables (Gill &amp; Pajek)'!$G$28)/'Tables (Gill &amp; Pajek)'!$F$28,1)*'Tables (Gill &amp; Pajek)'!$I$4))</f>
        <v>0.14499999999999999</v>
      </c>
      <c r="I10" s="16">
        <f>IF(Worksheet!$J14=0,NA(),IF(VLOOKUP(Worksheet!$D14,[0]!RadType_LU,2)&gt;0,VLOOKUP(Worksheet!$J14,[0]!CFM_Vent_Lookup_Hoff1A_2oz,2,TRUE),CONCATENATE(FLOOR(Worksheet!$J14/'Tables (Gill &amp; Pajek)'!$G$28,1),"pcs #2s &amp; ",CEILING(MOD(Worksheet!$J14,'Tables (Gill &amp; Pajek)'!$G$28)/'Tables (Gill &amp; Pajek)'!$F$28,1),"pcs #1s (Gorton)")))</f>
        <v>3</v>
      </c>
      <c r="J10" s="21">
        <f>IF(Worksheet!$J14=0,0,IF(VLOOKUP(Worksheet!$D14,[0]!RadType_LU,2)&gt;0,VLOOKUP(I10,[0]!Hoffman_Caps,3,TRUE),FLOOR(Worksheet!$J14/'Tables (Gill &amp; Pajek)'!$G$29,1)*'Tables (Gill &amp; Pajek)'!$J$5+CEILING(MOD(Worksheet!$J14,'Tables (Gill &amp; Pajek)'!$G$29)/'Tables (Gill &amp; Pajek)'!$F$29,1)*'Tables (Gill &amp; Pajek)'!$J$4))</f>
        <v>0.158</v>
      </c>
      <c r="K10" s="16">
        <f>IF(Worksheet!$J14=0,NA(),IF(VLOOKUP(Worksheet!$D14,[0]!RadType_LU,2)&gt;0,VLOOKUP(Worksheet!$J14,[0]!CFM_Vent_Lookup_Hoff1A_3oz,2,TRUE),CONCATENATE(FLOOR(Worksheet!$J14/'Tables (Gill &amp; Pajek)'!$G$28,1),"pcs #2s &amp; ",CEILING(MOD(Worksheet!$J14,'Tables (Gill &amp; Pajek)'!$G$28)/'Tables (Gill &amp; Pajek)'!$F$28,1),"pcs #1s (Gorton)")))</f>
        <v>3</v>
      </c>
      <c r="L10" s="21">
        <f>IF(Worksheet!$J14=0,0,IF(VLOOKUP(Worksheet!$D14,[0]!RadType_LU,2)&gt;0,VLOOKUP(K10,[0]!Hoffman_Caps,4,TRUE),FLOOR(Worksheet!$J14/'Tables (Gill &amp; Pajek)'!$G$30,1)*'Tables (Gill &amp; Pajek)'!$K$5+CEILING(MOD(Worksheet!$J14,'Tables (Gill &amp; Pajek)'!$G$30)/'Tables (Gill &amp; Pajek)'!$F$30,1)*'Tables (Gill &amp; Pajek)'!$K$4))</f>
        <v>0.2</v>
      </c>
    </row>
    <row r="11" spans="1:12" x14ac:dyDescent="0.25">
      <c r="A11" s="2" t="s">
        <v>74</v>
      </c>
      <c r="B11" s="2"/>
      <c r="C11" s="2"/>
      <c r="D11" s="2"/>
      <c r="E11" s="2"/>
      <c r="F11" s="14" t="str">
        <f>Worksheet!A15</f>
        <v>Emmy's Office</v>
      </c>
      <c r="G11" s="15">
        <f>IF(Worksheet!$J15=0,NA(),IF(VLOOKUP(Worksheet!$D15,[0]!RadType_LU,2)&gt;0,VLOOKUP(Worksheet!$J15,[0]!CFM_Vent_Lookup_Hoff1A_1oz,2,TRUE),CONCATENATE(FLOOR(Worksheet!$J15/'Tables (Gill &amp; Pajek)'!$G$28,1),"pcs #2s &amp; ",CEILING(MOD(Worksheet!$J15,'Tables (Gill &amp; Pajek)'!$G$28)/'Tables (Gill &amp; Pajek)'!$F$28,1),"pcs #1s (Gorton)")))</f>
        <v>6</v>
      </c>
      <c r="H11" s="18">
        <f>IF(Worksheet!$J15=0,0,IF(VLOOKUP(Worksheet!$D15,[0]!RadType_LU,2)&gt;0,VLOOKUP(G11,[0]!Hoffman_Caps,2,TRUE),FLOOR(Worksheet!$J15/'Tables (Gill &amp; Pajek)'!$G$28,1)*'Tables (Gill &amp; Pajek)'!$I$5+CEILING(MOD(Worksheet!$J15,'Tables (Gill &amp; Pajek)'!$G$28)/'Tables (Gill &amp; Pajek)'!$F$28,1)*'Tables (Gill &amp; Pajek)'!$I$4))</f>
        <v>0.14499999999999999</v>
      </c>
      <c r="I11" s="15">
        <f>IF(Worksheet!$J15=0,NA(),IF(VLOOKUP(Worksheet!$D15,[0]!RadType_LU,2)&gt;0,VLOOKUP(Worksheet!$J15,[0]!CFM_Vent_Lookup_Hoff1A_2oz,2,TRUE),CONCATENATE(FLOOR(Worksheet!$J15/'Tables (Gill &amp; Pajek)'!$G$28,1),"pcs #2s &amp; ",CEILING(MOD(Worksheet!$J15,'Tables (Gill &amp; Pajek)'!$G$28)/'Tables (Gill &amp; Pajek)'!$F$28,1),"pcs #1s (Gorton)")))</f>
        <v>3</v>
      </c>
      <c r="J11" s="18">
        <f>IF(Worksheet!$J15=0,0,IF(VLOOKUP(Worksheet!$D15,[0]!RadType_LU,2)&gt;0,VLOOKUP(I11,[0]!Hoffman_Caps,3,TRUE),FLOOR(Worksheet!$J15/'Tables (Gill &amp; Pajek)'!$G$29,1)*'Tables (Gill &amp; Pajek)'!$J$5+CEILING(MOD(Worksheet!$J15,'Tables (Gill &amp; Pajek)'!$G$29)/'Tables (Gill &amp; Pajek)'!$F$29,1)*'Tables (Gill &amp; Pajek)'!$J$4))</f>
        <v>0.158</v>
      </c>
      <c r="K11" s="15">
        <f>IF(Worksheet!$J15=0,NA(),IF(VLOOKUP(Worksheet!$D15,[0]!RadType_LU,2)&gt;0,VLOOKUP(Worksheet!$J15,[0]!CFM_Vent_Lookup_Hoff1A_3oz,2,TRUE),CONCATENATE(FLOOR(Worksheet!$J15/'Tables (Gill &amp; Pajek)'!$G$28,1),"pcs #2s &amp; ",CEILING(MOD(Worksheet!$J15,'Tables (Gill &amp; Pajek)'!$G$28)/'Tables (Gill &amp; Pajek)'!$F$28,1),"pcs #1s (Gorton)")))</f>
        <v>3</v>
      </c>
      <c r="L11" s="18">
        <f>IF(Worksheet!$J15=0,0,IF(VLOOKUP(Worksheet!$D15,[0]!RadType_LU,2)&gt;0,VLOOKUP(K11,[0]!Hoffman_Caps,4,TRUE),FLOOR(Worksheet!$J15/'Tables (Gill &amp; Pajek)'!$G$30,1)*'Tables (Gill &amp; Pajek)'!$K$5+CEILING(MOD(Worksheet!$J15,'Tables (Gill &amp; Pajek)'!$G$30)/'Tables (Gill &amp; Pajek)'!$F$30,1)*'Tables (Gill &amp; Pajek)'!$K$4))</f>
        <v>0.2</v>
      </c>
    </row>
    <row r="12" spans="1:12" x14ac:dyDescent="0.25">
      <c r="A12" s="2"/>
      <c r="B12" s="2"/>
      <c r="C12" s="2"/>
      <c r="D12" s="2"/>
      <c r="E12" s="2"/>
      <c r="F12" s="13" t="str">
        <f>Worksheet!A16</f>
        <v>Dan's Office</v>
      </c>
      <c r="G12" s="16">
        <f>IF(Worksheet!$J16=0,NA(),IF(VLOOKUP(Worksheet!$D16,[0]!RadType_LU,2)&gt;0,VLOOKUP(Worksheet!$J16,[0]!CFM_Vent_Lookup_Hoff1A_1oz,2,TRUE),CONCATENATE(FLOOR(Worksheet!$J16/'Tables (Gill &amp; Pajek)'!$G$28,1),"pcs #2s &amp; ",CEILING(MOD(Worksheet!$J16,'Tables (Gill &amp; Pajek)'!$G$28)/'Tables (Gill &amp; Pajek)'!$F$28,1),"pcs #1s (Gorton)")))</f>
        <v>6</v>
      </c>
      <c r="H12" s="21">
        <f>IF(Worksheet!$J16=0,0,IF(VLOOKUP(Worksheet!$D16,[0]!RadType_LU,2)&gt;0,VLOOKUP(G12,[0]!Hoffman_Caps,2,TRUE),FLOOR(Worksheet!$J16/'Tables (Gill &amp; Pajek)'!$G$28,1)*'Tables (Gill &amp; Pajek)'!$I$5+CEILING(MOD(Worksheet!$J16,'Tables (Gill &amp; Pajek)'!$G$28)/'Tables (Gill &amp; Pajek)'!$F$28,1)*'Tables (Gill &amp; Pajek)'!$I$4))</f>
        <v>0.14499999999999999</v>
      </c>
      <c r="I12" s="16">
        <f>IF(Worksheet!$J16=0,NA(),IF(VLOOKUP(Worksheet!$D16,[0]!RadType_LU,2)&gt;0,VLOOKUP(Worksheet!$J16,[0]!CFM_Vent_Lookup_Hoff1A_2oz,2,TRUE),CONCATENATE(FLOOR(Worksheet!$J16/'Tables (Gill &amp; Pajek)'!$G$28,1),"pcs #2s &amp; ",CEILING(MOD(Worksheet!$J16,'Tables (Gill &amp; Pajek)'!$G$28)/'Tables (Gill &amp; Pajek)'!$F$28,1),"pcs #1s (Gorton)")))</f>
        <v>5</v>
      </c>
      <c r="J12" s="21">
        <f>IF(Worksheet!$J16=0,0,IF(VLOOKUP(Worksheet!$D16,[0]!RadType_LU,2)&gt;0,VLOOKUP(I12,[0]!Hoffman_Caps,3,TRUE),FLOOR(Worksheet!$J16/'Tables (Gill &amp; Pajek)'!$G$29,1)*'Tables (Gill &amp; Pajek)'!$J$5+CEILING(MOD(Worksheet!$J16,'Tables (Gill &amp; Pajek)'!$G$29)/'Tables (Gill &amp; Pajek)'!$F$29,1)*'Tables (Gill &amp; Pajek)'!$J$4))</f>
        <v>0.22</v>
      </c>
      <c r="K12" s="16">
        <f>IF(Worksheet!$J16=0,NA(),IF(VLOOKUP(Worksheet!$D16,[0]!RadType_LU,2)&gt;0,VLOOKUP(Worksheet!$J16,[0]!CFM_Vent_Lookup_Hoff1A_3oz,2,TRUE),CONCATENATE(FLOOR(Worksheet!$J16/'Tables (Gill &amp; Pajek)'!$G$28,1),"pcs #2s &amp; ",CEILING(MOD(Worksheet!$J16,'Tables (Gill &amp; Pajek)'!$G$28)/'Tables (Gill &amp; Pajek)'!$F$28,1),"pcs #1s (Gorton)")))</f>
        <v>3</v>
      </c>
      <c r="L12" s="21">
        <f>IF(Worksheet!$J16=0,0,IF(VLOOKUP(Worksheet!$D16,[0]!RadType_LU,2)&gt;0,VLOOKUP(K12,[0]!Hoffman_Caps,4,TRUE),FLOOR(Worksheet!$J16/'Tables (Gill &amp; Pajek)'!$G$30,1)*'Tables (Gill &amp; Pajek)'!$K$5+CEILING(MOD(Worksheet!$J16,'Tables (Gill &amp; Pajek)'!$G$30)/'Tables (Gill &amp; Pajek)'!$F$30,1)*'Tables (Gill &amp; Pajek)'!$K$4))</f>
        <v>0.2</v>
      </c>
    </row>
    <row r="13" spans="1:12" x14ac:dyDescent="0.25">
      <c r="A13" s="2"/>
      <c r="B13" s="2"/>
      <c r="C13" s="2"/>
      <c r="D13" s="2"/>
      <c r="E13" s="2"/>
      <c r="F13" s="14" t="str">
        <f>Worksheet!A17</f>
        <v xml:space="preserve">Master </v>
      </c>
      <c r="G13" s="15">
        <f>IF(Worksheet!$J17=0,NA(),IF(VLOOKUP(Worksheet!$D17,[0]!RadType_LU,2)&gt;0,VLOOKUP(Worksheet!$J17,[0]!CFM_Vent_Lookup_Hoff1A_1oz,2,TRUE),CONCATENATE(FLOOR(Worksheet!$J17/'Tables (Gill &amp; Pajek)'!$G$28,1),"pcs #2s &amp; ",CEILING(MOD(Worksheet!$J17,'Tables (Gill &amp; Pajek)'!$G$28)/'Tables (Gill &amp; Pajek)'!$F$28,1),"pcs #1s (Gorton)")))</f>
        <v>5</v>
      </c>
      <c r="H13" s="18">
        <f>IF(Worksheet!$J17=0,0,IF(VLOOKUP(Worksheet!$D17,[0]!RadType_LU,2)&gt;0,VLOOKUP(G13,[0]!Hoffman_Caps,2,TRUE),FLOOR(Worksheet!$J17/'Tables (Gill &amp; Pajek)'!$G$28,1)*'Tables (Gill &amp; Pajek)'!$I$5+CEILING(MOD(Worksheet!$J17,'Tables (Gill &amp; Pajek)'!$G$28)/'Tables (Gill &amp; Pajek)'!$F$28,1)*'Tables (Gill &amp; Pajek)'!$I$4))</f>
        <v>0.14000000000000001</v>
      </c>
      <c r="I13" s="15">
        <f>IF(Worksheet!$J17=0,NA(),IF(VLOOKUP(Worksheet!$D17,[0]!RadType_LU,2)&gt;0,VLOOKUP(Worksheet!$J17,[0]!CFM_Vent_Lookup_Hoff1A_2oz,2,TRUE),CONCATENATE(FLOOR(Worksheet!$J17/'Tables (Gill &amp; Pajek)'!$G$28,1),"pcs #2s &amp; ",CEILING(MOD(Worksheet!$J17,'Tables (Gill &amp; Pajek)'!$G$28)/'Tables (Gill &amp; Pajek)'!$F$28,1),"pcs #1s (Gorton)")))</f>
        <v>3</v>
      </c>
      <c r="J13" s="18">
        <f>IF(Worksheet!$J17=0,0,IF(VLOOKUP(Worksheet!$D17,[0]!RadType_LU,2)&gt;0,VLOOKUP(I13,[0]!Hoffman_Caps,3,TRUE),FLOOR(Worksheet!$J17/'Tables (Gill &amp; Pajek)'!$G$29,1)*'Tables (Gill &amp; Pajek)'!$J$5+CEILING(MOD(Worksheet!$J17,'Tables (Gill &amp; Pajek)'!$G$29)/'Tables (Gill &amp; Pajek)'!$F$29,1)*'Tables (Gill &amp; Pajek)'!$J$4))</f>
        <v>0.158</v>
      </c>
      <c r="K13" s="15">
        <f>IF(Worksheet!$J17=0,NA(),IF(VLOOKUP(Worksheet!$D17,[0]!RadType_LU,2)&gt;0,VLOOKUP(Worksheet!$J17,[0]!CFM_Vent_Lookup_Hoff1A_3oz,2,TRUE),CONCATENATE(FLOOR(Worksheet!$J17/'Tables (Gill &amp; Pajek)'!$G$28,1),"pcs #2s &amp; ",CEILING(MOD(Worksheet!$J17,'Tables (Gill &amp; Pajek)'!$G$28)/'Tables (Gill &amp; Pajek)'!$F$28,1),"pcs #1s (Gorton)")))</f>
        <v>3</v>
      </c>
      <c r="L13" s="18">
        <f>IF(Worksheet!$J17=0,0,IF(VLOOKUP(Worksheet!$D17,[0]!RadType_LU,2)&gt;0,VLOOKUP(K13,[0]!Hoffman_Caps,4,TRUE),FLOOR(Worksheet!$J17/'Tables (Gill &amp; Pajek)'!$G$30,1)*'Tables (Gill &amp; Pajek)'!$K$5+CEILING(MOD(Worksheet!$J17,'Tables (Gill &amp; Pajek)'!$G$30)/'Tables (Gill &amp; Pajek)'!$F$30,1)*'Tables (Gill &amp; Pajek)'!$K$4))</f>
        <v>0.2</v>
      </c>
    </row>
    <row r="14" spans="1:12" x14ac:dyDescent="0.25">
      <c r="A14" s="4" t="s">
        <v>75</v>
      </c>
      <c r="B14" s="2"/>
      <c r="C14" s="2"/>
      <c r="D14" s="2"/>
      <c r="E14" s="2"/>
      <c r="F14" s="13" t="str">
        <f>Worksheet!A18</f>
        <v>Bathroom</v>
      </c>
      <c r="G14" s="16">
        <f>IF(Worksheet!$J18=0,NA(),IF(VLOOKUP(Worksheet!$D18,[0]!RadType_LU,2)&gt;0,VLOOKUP(Worksheet!$J18,[0]!CFM_Vent_Lookup_Hoff1A_1oz,2,TRUE),CONCATENATE(FLOOR(Worksheet!$J18/'Tables (Gill &amp; Pajek)'!$G$28,1),"pcs #2s &amp; ",CEILING(MOD(Worksheet!$J18,'Tables (Gill &amp; Pajek)'!$G$28)/'Tables (Gill &amp; Pajek)'!$F$28,1),"pcs #1s (Gorton)")))</f>
        <v>4</v>
      </c>
      <c r="H14" s="21">
        <f>IF(Worksheet!$J18=0,0,IF(VLOOKUP(Worksheet!$D18,[0]!RadType_LU,2)&gt;0,VLOOKUP(G14,[0]!Hoffman_Caps,2,TRUE),FLOOR(Worksheet!$J18/'Tables (Gill &amp; Pajek)'!$G$28,1)*'Tables (Gill &amp; Pajek)'!$I$5+CEILING(MOD(Worksheet!$J18,'Tables (Gill &amp; Pajek)'!$G$28)/'Tables (Gill &amp; Pajek)'!$F$28,1)*'Tables (Gill &amp; Pajek)'!$I$4))</f>
        <v>0.108</v>
      </c>
      <c r="I14" s="16">
        <f>IF(Worksheet!$J18=0,NA(),IF(VLOOKUP(Worksheet!$D18,[0]!RadType_LU,2)&gt;0,VLOOKUP(Worksheet!$J18,[0]!CFM_Vent_Lookup_Hoff1A_2oz,2,TRUE),CONCATENATE(FLOOR(Worksheet!$J18/'Tables (Gill &amp; Pajek)'!$G$28,1),"pcs #2s &amp; ",CEILING(MOD(Worksheet!$J18,'Tables (Gill &amp; Pajek)'!$G$28)/'Tables (Gill &amp; Pajek)'!$F$28,1),"pcs #1s (Gorton)")))</f>
        <v>3</v>
      </c>
      <c r="J14" s="21">
        <f>IF(Worksheet!$J18=0,0,IF(VLOOKUP(Worksheet!$D18,[0]!RadType_LU,2)&gt;0,VLOOKUP(I14,[0]!Hoffman_Caps,3,TRUE),FLOOR(Worksheet!$J18/'Tables (Gill &amp; Pajek)'!$G$29,1)*'Tables (Gill &amp; Pajek)'!$J$5+CEILING(MOD(Worksheet!$J18,'Tables (Gill &amp; Pajek)'!$G$29)/'Tables (Gill &amp; Pajek)'!$F$29,1)*'Tables (Gill &amp; Pajek)'!$J$4))</f>
        <v>0.158</v>
      </c>
      <c r="K14" s="16">
        <f>IF(Worksheet!$J18=0,NA(),IF(VLOOKUP(Worksheet!$D18,[0]!RadType_LU,2)&gt;0,VLOOKUP(Worksheet!$J18,[0]!CFM_Vent_Lookup_Hoff1A_3oz,2,TRUE),CONCATENATE(FLOOR(Worksheet!$J18/'Tables (Gill &amp; Pajek)'!$G$28,1),"pcs #2s &amp; ",CEILING(MOD(Worksheet!$J18,'Tables (Gill &amp; Pajek)'!$G$28)/'Tables (Gill &amp; Pajek)'!$F$28,1),"pcs #1s (Gorton)")))</f>
        <v>3</v>
      </c>
      <c r="L14" s="21">
        <f>IF(Worksheet!$J18=0,0,IF(VLOOKUP(Worksheet!$D18,[0]!RadType_LU,2)&gt;0,VLOOKUP(K14,[0]!Hoffman_Caps,4,TRUE),FLOOR(Worksheet!$J18/'Tables (Gill &amp; Pajek)'!$G$30,1)*'Tables (Gill &amp; Pajek)'!$K$5+CEILING(MOD(Worksheet!$J18,'Tables (Gill &amp; Pajek)'!$G$30)/'Tables (Gill &amp; Pajek)'!$F$30,1)*'Tables (Gill &amp; Pajek)'!$K$4))</f>
        <v>0.2</v>
      </c>
    </row>
    <row r="15" spans="1:12" x14ac:dyDescent="0.25">
      <c r="A15" s="2"/>
      <c r="B15" s="2"/>
      <c r="C15" s="2"/>
      <c r="D15" s="2"/>
      <c r="E15" s="2"/>
      <c r="F15" s="14" t="str">
        <f>Worksheet!A19</f>
        <v>-</v>
      </c>
      <c r="G15" s="15">
        <f>IF(Worksheet!$J19=0,NA(),IF(VLOOKUP(Worksheet!$D19,[0]!RadType_LU,2)&gt;0,VLOOKUP(Worksheet!$J19,[0]!CFM_Vent_Lookup_Hoff1A_1oz,2,TRUE),CONCATENATE(FLOOR(Worksheet!$J19/'Tables (Gill &amp; Pajek)'!$G$28,1),"pcs #2s &amp; ",CEILING(MOD(Worksheet!$J19,'Tables (Gill &amp; Pajek)'!$G$28)/'Tables (Gill &amp; Pajek)'!$F$28,1),"pcs #1s (Gorton)")))</f>
        <v>1</v>
      </c>
      <c r="H15" s="18">
        <f>IF(Worksheet!$J19=0,0,IF(VLOOKUP(Worksheet!$D19,[0]!RadType_LU,2)&gt;0,VLOOKUP(G15,[0]!Hoffman_Caps,2,TRUE),FLOOR(Worksheet!$J19/'Tables (Gill &amp; Pajek)'!$G$28,1)*'Tables (Gill &amp; Pajek)'!$I$5+CEILING(MOD(Worksheet!$J19,'Tables (Gill &amp; Pajek)'!$G$28)/'Tables (Gill &amp; Pajek)'!$F$28,1)*'Tables (Gill &amp; Pajek)'!$I$4))</f>
        <v>0.02</v>
      </c>
      <c r="I15" s="15">
        <f>IF(Worksheet!$J19=0,NA(),IF(VLOOKUP(Worksheet!$D19,[0]!RadType_LU,2)&gt;0,VLOOKUP(Worksheet!$J19,[0]!CFM_Vent_Lookup_Hoff1A_2oz,2,TRUE),CONCATENATE(FLOOR(Worksheet!$J19/'Tables (Gill &amp; Pajek)'!$G$28,1),"pcs #2s &amp; ",CEILING(MOD(Worksheet!$J19,'Tables (Gill &amp; Pajek)'!$G$28)/'Tables (Gill &amp; Pajek)'!$F$28,1),"pcs #1s (Gorton)")))</f>
        <v>1</v>
      </c>
      <c r="J15" s="18">
        <f>IF(Worksheet!$J19=0,0,IF(VLOOKUP(Worksheet!$D19,[0]!RadType_LU,2)&gt;0,VLOOKUP(I15,[0]!Hoffman_Caps,3,TRUE),FLOOR(Worksheet!$J19/'Tables (Gill &amp; Pajek)'!$G$29,1)*'Tables (Gill &amp; Pajek)'!$J$5+CEILING(MOD(Worksheet!$J19,'Tables (Gill &amp; Pajek)'!$G$29)/'Tables (Gill &amp; Pajek)'!$F$29,1)*'Tables (Gill &amp; Pajek)'!$J$4))</f>
        <v>2.5999999999999999E-2</v>
      </c>
      <c r="K15" s="15">
        <f>IF(Worksheet!$J19=0,NA(),IF(VLOOKUP(Worksheet!$D19,[0]!RadType_LU,2)&gt;0,VLOOKUP(Worksheet!$J19,[0]!CFM_Vent_Lookup_Hoff1A_3oz,2,TRUE),CONCATENATE(FLOOR(Worksheet!$J19/'Tables (Gill &amp; Pajek)'!$G$28,1),"pcs #2s &amp; ",CEILING(MOD(Worksheet!$J19,'Tables (Gill &amp; Pajek)'!$G$28)/'Tables (Gill &amp; Pajek)'!$F$28,1),"pcs #1s (Gorton)")))</f>
        <v>1</v>
      </c>
      <c r="L15" s="18">
        <f>IF(Worksheet!$J19=0,0,IF(VLOOKUP(Worksheet!$D19,[0]!RadType_LU,2)&gt;0,VLOOKUP(K15,[0]!Hoffman_Caps,4,TRUE),FLOOR(Worksheet!$J19/'Tables (Gill &amp; Pajek)'!$G$30,1)*'Tables (Gill &amp; Pajek)'!$K$5+CEILING(MOD(Worksheet!$J19,'Tables (Gill &amp; Pajek)'!$G$30)/'Tables (Gill &amp; Pajek)'!$F$30,1)*'Tables (Gill &amp; Pajek)'!$K$4))</f>
        <v>3.3000000000000002E-2</v>
      </c>
    </row>
    <row r="16" spans="1:12" x14ac:dyDescent="0.25">
      <c r="A16" s="2"/>
      <c r="B16" s="2"/>
      <c r="C16" s="2"/>
      <c r="D16" s="2"/>
      <c r="E16" s="2"/>
      <c r="F16" s="13" t="str">
        <f>Worksheet!A20</f>
        <v>-</v>
      </c>
      <c r="G16" s="16">
        <f>IF(Worksheet!$J20=0,NA(),IF(VLOOKUP(Worksheet!$D20,[0]!RadType_LU,2)&gt;0,VLOOKUP(Worksheet!$J20,[0]!CFM_Vent_Lookup_Hoff1A_1oz,2,TRUE),CONCATENATE(FLOOR(Worksheet!$J20/'Tables (Gill &amp; Pajek)'!$G$28,1),"pcs #2s &amp; ",CEILING(MOD(Worksheet!$J20,'Tables (Gill &amp; Pajek)'!$G$28)/'Tables (Gill &amp; Pajek)'!$F$28,1),"pcs #1s (Gorton)")))</f>
        <v>1</v>
      </c>
      <c r="H16" s="21">
        <f>IF(Worksheet!$J20=0,0,IF(VLOOKUP(Worksheet!$D20,[0]!RadType_LU,2)&gt;0,VLOOKUP(G16,[0]!Hoffman_Caps,2,TRUE),FLOOR(Worksheet!$J20/'Tables (Gill &amp; Pajek)'!$G$28,1)*'Tables (Gill &amp; Pajek)'!$I$5+CEILING(MOD(Worksheet!$J20,'Tables (Gill &amp; Pajek)'!$G$28)/'Tables (Gill &amp; Pajek)'!$F$28,1)*'Tables (Gill &amp; Pajek)'!$I$4))</f>
        <v>0.02</v>
      </c>
      <c r="I16" s="16">
        <f>IF(Worksheet!$J20=0,NA(),IF(VLOOKUP(Worksheet!$D20,[0]!RadType_LU,2)&gt;0,VLOOKUP(Worksheet!$J20,[0]!CFM_Vent_Lookup_Hoff1A_2oz,2,TRUE),CONCATENATE(FLOOR(Worksheet!$J20/'Tables (Gill &amp; Pajek)'!$G$28,1),"pcs #2s &amp; ",CEILING(MOD(Worksheet!$J20,'Tables (Gill &amp; Pajek)'!$G$28)/'Tables (Gill &amp; Pajek)'!$F$28,1),"pcs #1s (Gorton)")))</f>
        <v>1</v>
      </c>
      <c r="J16" s="21">
        <f>IF(Worksheet!$J20=0,0,IF(VLOOKUP(Worksheet!$D20,[0]!RadType_LU,2)&gt;0,VLOOKUP(I16,[0]!Hoffman_Caps,3,TRUE),FLOOR(Worksheet!$J20/'Tables (Gill &amp; Pajek)'!$G$29,1)*'Tables (Gill &amp; Pajek)'!$J$5+CEILING(MOD(Worksheet!$J20,'Tables (Gill &amp; Pajek)'!$G$29)/'Tables (Gill &amp; Pajek)'!$F$29,1)*'Tables (Gill &amp; Pajek)'!$J$4))</f>
        <v>2.5999999999999999E-2</v>
      </c>
      <c r="K16" s="16">
        <f>IF(Worksheet!$J20=0,NA(),IF(VLOOKUP(Worksheet!$D20,[0]!RadType_LU,2)&gt;0,VLOOKUP(Worksheet!$J20,[0]!CFM_Vent_Lookup_Hoff1A_3oz,2,TRUE),CONCATENATE(FLOOR(Worksheet!$J20/'Tables (Gill &amp; Pajek)'!$G$28,1),"pcs #2s &amp; ",CEILING(MOD(Worksheet!$J20,'Tables (Gill &amp; Pajek)'!$G$28)/'Tables (Gill &amp; Pajek)'!$F$28,1),"pcs #1s (Gorton)")))</f>
        <v>1</v>
      </c>
      <c r="L16" s="21">
        <f>IF(Worksheet!$J20=0,0,IF(VLOOKUP(Worksheet!$D20,[0]!RadType_LU,2)&gt;0,VLOOKUP(K16,[0]!Hoffman_Caps,4,TRUE),FLOOR(Worksheet!$J20/'Tables (Gill &amp; Pajek)'!$G$30,1)*'Tables (Gill &amp; Pajek)'!$K$5+CEILING(MOD(Worksheet!$J20,'Tables (Gill &amp; Pajek)'!$G$30)/'Tables (Gill &amp; Pajek)'!$F$30,1)*'Tables (Gill &amp; Pajek)'!$K$4))</f>
        <v>3.3000000000000002E-2</v>
      </c>
    </row>
    <row r="17" spans="1:12" x14ac:dyDescent="0.25">
      <c r="A17" s="2"/>
      <c r="B17" s="2"/>
      <c r="C17" s="2"/>
      <c r="D17" s="2"/>
      <c r="E17" s="2"/>
      <c r="F17" s="14" t="str">
        <f>Worksheet!A21</f>
        <v>-</v>
      </c>
      <c r="G17" s="15">
        <f>IF(Worksheet!$J21=0,NA(),IF(VLOOKUP(Worksheet!$D21,[0]!RadType_LU,2)&gt;0,VLOOKUP(Worksheet!$J21,[0]!CFM_Vent_Lookup_Hoff1A_1oz,2,TRUE),CONCATENATE(FLOOR(Worksheet!$J21/'Tables (Gill &amp; Pajek)'!$G$28,1),"pcs #2s &amp; ",CEILING(MOD(Worksheet!$J21,'Tables (Gill &amp; Pajek)'!$G$28)/'Tables (Gill &amp; Pajek)'!$F$28,1),"pcs #1s (Gorton)")))</f>
        <v>1</v>
      </c>
      <c r="H17" s="18">
        <f>IF(Worksheet!$J21=0,0,IF(VLOOKUP(Worksheet!$D21,[0]!RadType_LU,2)&gt;0,VLOOKUP(G17,[0]!Hoffman_Caps,2,TRUE),FLOOR(Worksheet!$J21/'Tables (Gill &amp; Pajek)'!$G$28,1)*'Tables (Gill &amp; Pajek)'!$I$5+CEILING(MOD(Worksheet!$J21,'Tables (Gill &amp; Pajek)'!$G$28)/'Tables (Gill &amp; Pajek)'!$F$28,1)*'Tables (Gill &amp; Pajek)'!$I$4))</f>
        <v>0.02</v>
      </c>
      <c r="I17" s="15">
        <f>IF(Worksheet!$J21=0,NA(),IF(VLOOKUP(Worksheet!$D21,[0]!RadType_LU,2)&gt;0,VLOOKUP(Worksheet!$J21,[0]!CFM_Vent_Lookup_Hoff1A_2oz,2,TRUE),CONCATENATE(FLOOR(Worksheet!$J21/'Tables (Gill &amp; Pajek)'!$G$28,1),"pcs #2s &amp; ",CEILING(MOD(Worksheet!$J21,'Tables (Gill &amp; Pajek)'!$G$28)/'Tables (Gill &amp; Pajek)'!$F$28,1),"pcs #1s (Gorton)")))</f>
        <v>1</v>
      </c>
      <c r="J17" s="18">
        <f>IF(Worksheet!$J21=0,0,IF(VLOOKUP(Worksheet!$D21,[0]!RadType_LU,2)&gt;0,VLOOKUP(I17,[0]!Hoffman_Caps,3,TRUE),FLOOR(Worksheet!$J21/'Tables (Gill &amp; Pajek)'!$G$29,1)*'Tables (Gill &amp; Pajek)'!$J$5+CEILING(MOD(Worksheet!$J21,'Tables (Gill &amp; Pajek)'!$G$29)/'Tables (Gill &amp; Pajek)'!$F$29,1)*'Tables (Gill &amp; Pajek)'!$J$4))</f>
        <v>2.5999999999999999E-2</v>
      </c>
      <c r="K17" s="15">
        <f>IF(Worksheet!$J21=0,NA(),IF(VLOOKUP(Worksheet!$D21,[0]!RadType_LU,2)&gt;0,VLOOKUP(Worksheet!$J21,[0]!CFM_Vent_Lookup_Hoff1A_3oz,2,TRUE),CONCATENATE(FLOOR(Worksheet!$J21/'Tables (Gill &amp; Pajek)'!$G$28,1),"pcs #2s &amp; ",CEILING(MOD(Worksheet!$J21,'Tables (Gill &amp; Pajek)'!$G$28)/'Tables (Gill &amp; Pajek)'!$F$28,1),"pcs #1s (Gorton)")))</f>
        <v>1</v>
      </c>
      <c r="L17" s="18">
        <f>IF(Worksheet!$J21=0,0,IF(VLOOKUP(Worksheet!$D21,[0]!RadType_LU,2)&gt;0,VLOOKUP(K17,[0]!Hoffman_Caps,4,TRUE),FLOOR(Worksheet!$J21/'Tables (Gill &amp; Pajek)'!$G$30,1)*'Tables (Gill &amp; Pajek)'!$K$5+CEILING(MOD(Worksheet!$J21,'Tables (Gill &amp; Pajek)'!$G$30)/'Tables (Gill &amp; Pajek)'!$F$30,1)*'Tables (Gill &amp; Pajek)'!$K$4))</f>
        <v>3.3000000000000002E-2</v>
      </c>
    </row>
    <row r="18" spans="1:12" x14ac:dyDescent="0.25">
      <c r="A18" s="2"/>
      <c r="B18" s="2"/>
      <c r="C18" s="2"/>
      <c r="D18" s="2"/>
      <c r="E18" s="2"/>
      <c r="F18" s="13" t="str">
        <f>Worksheet!A22</f>
        <v>-</v>
      </c>
      <c r="G18" s="16">
        <f>IF(Worksheet!$J22=0,NA(),IF(VLOOKUP(Worksheet!$D22,[0]!RadType_LU,2)&gt;0,VLOOKUP(Worksheet!$J22,[0]!CFM_Vent_Lookup_Hoff1A_1oz,2,TRUE),CONCATENATE(FLOOR(Worksheet!$J22/'Tables (Gill &amp; Pajek)'!$G$28,1),"pcs #2s &amp; ",CEILING(MOD(Worksheet!$J22,'Tables (Gill &amp; Pajek)'!$G$28)/'Tables (Gill &amp; Pajek)'!$F$28,1),"pcs #1s (Gorton)")))</f>
        <v>1</v>
      </c>
      <c r="H18" s="21">
        <f>IF(Worksheet!$J22=0,0,IF(VLOOKUP(Worksheet!$D22,[0]!RadType_LU,2)&gt;0,VLOOKUP(G18,[0]!Hoffman_Caps,2,TRUE),FLOOR(Worksheet!$J22/'Tables (Gill &amp; Pajek)'!$G$28,1)*'Tables (Gill &amp; Pajek)'!$I$5+CEILING(MOD(Worksheet!$J22,'Tables (Gill &amp; Pajek)'!$G$28)/'Tables (Gill &amp; Pajek)'!$F$28,1)*'Tables (Gill &amp; Pajek)'!$I$4))</f>
        <v>0.02</v>
      </c>
      <c r="I18" s="16">
        <f>IF(Worksheet!$J22=0,NA(),IF(VLOOKUP(Worksheet!$D22,[0]!RadType_LU,2)&gt;0,VLOOKUP(Worksheet!$J22,[0]!CFM_Vent_Lookup_Hoff1A_2oz,2,TRUE),CONCATENATE(FLOOR(Worksheet!$J22/'Tables (Gill &amp; Pajek)'!$G$28,1),"pcs #2s &amp; ",CEILING(MOD(Worksheet!$J22,'Tables (Gill &amp; Pajek)'!$G$28)/'Tables (Gill &amp; Pajek)'!$F$28,1),"pcs #1s (Gorton)")))</f>
        <v>1</v>
      </c>
      <c r="J18" s="21">
        <f>IF(Worksheet!$J22=0,0,IF(VLOOKUP(Worksheet!$D22,[0]!RadType_LU,2)&gt;0,VLOOKUP(I18,[0]!Hoffman_Caps,3,TRUE),FLOOR(Worksheet!$J22/'Tables (Gill &amp; Pajek)'!$G$29,1)*'Tables (Gill &amp; Pajek)'!$J$5+CEILING(MOD(Worksheet!$J22,'Tables (Gill &amp; Pajek)'!$G$29)/'Tables (Gill &amp; Pajek)'!$F$29,1)*'Tables (Gill &amp; Pajek)'!$J$4))</f>
        <v>2.5999999999999999E-2</v>
      </c>
      <c r="K18" s="16">
        <f>IF(Worksheet!$J22=0,NA(),IF(VLOOKUP(Worksheet!$D22,[0]!RadType_LU,2)&gt;0,VLOOKUP(Worksheet!$J22,[0]!CFM_Vent_Lookup_Hoff1A_3oz,2,TRUE),CONCATENATE(FLOOR(Worksheet!$J22/'Tables (Gill &amp; Pajek)'!$G$28,1),"pcs #2s &amp; ",CEILING(MOD(Worksheet!$J22,'Tables (Gill &amp; Pajek)'!$G$28)/'Tables (Gill &amp; Pajek)'!$F$28,1),"pcs #1s (Gorton)")))</f>
        <v>1</v>
      </c>
      <c r="L18" s="21">
        <f>IF(Worksheet!$J22=0,0,IF(VLOOKUP(Worksheet!$D22,[0]!RadType_LU,2)&gt;0,VLOOKUP(K18,[0]!Hoffman_Caps,4,TRUE),FLOOR(Worksheet!$J22/'Tables (Gill &amp; Pajek)'!$G$30,1)*'Tables (Gill &amp; Pajek)'!$K$5+CEILING(MOD(Worksheet!$J22,'Tables (Gill &amp; Pajek)'!$G$30)/'Tables (Gill &amp; Pajek)'!$F$30,1)*'Tables (Gill &amp; Pajek)'!$K$4))</f>
        <v>3.3000000000000002E-2</v>
      </c>
    </row>
    <row r="19" spans="1:12" x14ac:dyDescent="0.25">
      <c r="A19" s="2"/>
      <c r="B19" s="2"/>
      <c r="C19" s="2"/>
      <c r="D19" s="2"/>
      <c r="E19" s="2"/>
      <c r="F19" s="2"/>
      <c r="G19" s="4" t="s">
        <v>81</v>
      </c>
      <c r="H19" s="22">
        <f>SUM(H3:H18)</f>
        <v>1.7280000000000002</v>
      </c>
      <c r="I19" s="2"/>
      <c r="J19" s="22">
        <f>SUM(J3:J18)</f>
        <v>2.3969999999999989</v>
      </c>
      <c r="K19" s="2"/>
      <c r="L19" s="22">
        <f>SUM(L3:L18)</f>
        <v>2.8580000000000001</v>
      </c>
    </row>
    <row r="20" spans="1:12" x14ac:dyDescent="0.25">
      <c r="A20" s="2"/>
      <c r="B20" s="2"/>
      <c r="C20" s="2"/>
      <c r="D20" s="2"/>
      <c r="E20" s="2"/>
      <c r="F20" s="2"/>
      <c r="G20" s="4" t="s">
        <v>82</v>
      </c>
      <c r="H20" s="23">
        <f>Worksheet!$J$23</f>
        <v>3.195666666666666</v>
      </c>
      <c r="I20" s="4"/>
      <c r="J20" s="23">
        <f>Worksheet!$J$23</f>
        <v>3.195666666666666</v>
      </c>
      <c r="K20" s="4"/>
      <c r="L20" s="23">
        <f>Worksheet!$J$23</f>
        <v>3.195666666666666</v>
      </c>
    </row>
    <row r="21" spans="1:12" x14ac:dyDescent="0.25">
      <c r="A21" s="2"/>
      <c r="B21" s="2"/>
      <c r="C21" s="2"/>
      <c r="D21" s="2"/>
      <c r="E21" s="2"/>
      <c r="F21" s="2"/>
      <c r="G21" s="4" t="s">
        <v>83</v>
      </c>
      <c r="H21" s="22">
        <f>H19-H20</f>
        <v>-1.4676666666666658</v>
      </c>
      <c r="I21" s="4"/>
      <c r="J21" s="22">
        <f>J19-J20</f>
        <v>-0.79866666666666708</v>
      </c>
      <c r="K21" s="4"/>
      <c r="L21" s="22">
        <f>L19-L20</f>
        <v>-0.33766666666666589</v>
      </c>
    </row>
    <row r="22" spans="1:12" x14ac:dyDescent="0.25">
      <c r="G22" s="24" t="s">
        <v>84</v>
      </c>
      <c r="H22" s="25">
        <f>H21/H20</f>
        <v>-0.4592677584228641</v>
      </c>
      <c r="I22" s="19"/>
      <c r="J22" s="25">
        <f>J21/J20</f>
        <v>-0.24992176906227201</v>
      </c>
      <c r="K22" s="19"/>
      <c r="L22" s="25">
        <f>L21/L20</f>
        <v>-0.10566391989151955</v>
      </c>
    </row>
  </sheetData>
  <sheetProtection password="DD49" sheet="1" objects="1" scenarios="1" selectLockedCell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8"/>
  <sheetViews>
    <sheetView tabSelected="1" workbookViewId="0">
      <selection activeCell="B3" sqref="B3"/>
    </sheetView>
  </sheetViews>
  <sheetFormatPr defaultRowHeight="15" x14ac:dyDescent="0.25"/>
  <cols>
    <col min="1" max="1" width="12.7109375" bestFit="1" customWidth="1"/>
    <col min="2" max="2" width="20.5703125" bestFit="1" customWidth="1"/>
  </cols>
  <sheetData>
    <row r="2" spans="1:7" x14ac:dyDescent="0.25">
      <c r="B2" t="s">
        <v>132</v>
      </c>
      <c r="C2" t="s">
        <v>133</v>
      </c>
    </row>
    <row r="6" spans="1:7" x14ac:dyDescent="0.25">
      <c r="B6" t="s">
        <v>108</v>
      </c>
    </row>
    <row r="7" spans="1:7" x14ac:dyDescent="0.25">
      <c r="B7" t="s">
        <v>111</v>
      </c>
      <c r="D7" s="59">
        <v>0.17708333333333334</v>
      </c>
    </row>
    <row r="8" spans="1:7" x14ac:dyDescent="0.25">
      <c r="B8" t="s">
        <v>109</v>
      </c>
      <c r="D8" s="59">
        <v>0.2951388888888889</v>
      </c>
    </row>
    <row r="9" spans="1:7" x14ac:dyDescent="0.25">
      <c r="B9" t="s">
        <v>131</v>
      </c>
      <c r="D9" s="59">
        <v>0.625</v>
      </c>
      <c r="F9" t="s">
        <v>112</v>
      </c>
    </row>
    <row r="10" spans="1:7" x14ac:dyDescent="0.25">
      <c r="B10" t="s">
        <v>110</v>
      </c>
      <c r="D10" s="59">
        <v>0.67222222222222217</v>
      </c>
    </row>
    <row r="12" spans="1:7" x14ac:dyDescent="0.25">
      <c r="B12" t="s">
        <v>113</v>
      </c>
      <c r="D12" t="s">
        <v>17</v>
      </c>
      <c r="E12" t="s">
        <v>114</v>
      </c>
      <c r="F12" t="s">
        <v>17</v>
      </c>
      <c r="G12" t="s">
        <v>114</v>
      </c>
    </row>
    <row r="13" spans="1:7" x14ac:dyDescent="0.25">
      <c r="A13" t="s">
        <v>119</v>
      </c>
      <c r="B13" t="s">
        <v>116</v>
      </c>
      <c r="D13" s="52">
        <v>2</v>
      </c>
      <c r="E13">
        <v>20</v>
      </c>
    </row>
    <row r="14" spans="1:7" x14ac:dyDescent="0.25">
      <c r="B14" t="s">
        <v>115</v>
      </c>
      <c r="D14" s="52">
        <v>1.25</v>
      </c>
      <c r="E14">
        <v>16</v>
      </c>
    </row>
    <row r="15" spans="1:7" x14ac:dyDescent="0.25">
      <c r="B15" t="s">
        <v>121</v>
      </c>
      <c r="D15" s="52">
        <v>1.5</v>
      </c>
      <c r="E15">
        <v>11.5</v>
      </c>
      <c r="F15">
        <v>2</v>
      </c>
      <c r="G15">
        <v>1.25</v>
      </c>
    </row>
    <row r="16" spans="1:7" x14ac:dyDescent="0.25">
      <c r="B16" t="s">
        <v>122</v>
      </c>
      <c r="D16" s="52">
        <v>1.5</v>
      </c>
      <c r="E16">
        <v>15</v>
      </c>
    </row>
    <row r="17" spans="1:5" x14ac:dyDescent="0.25">
      <c r="D17" s="52"/>
    </row>
    <row r="18" spans="1:5" x14ac:dyDescent="0.25">
      <c r="A18" t="s">
        <v>120</v>
      </c>
      <c r="B18" t="s">
        <v>117</v>
      </c>
      <c r="D18" s="52">
        <v>2</v>
      </c>
      <c r="E18">
        <v>10.5</v>
      </c>
    </row>
    <row r="19" spans="1:5" x14ac:dyDescent="0.25">
      <c r="B19" t="s">
        <v>118</v>
      </c>
      <c r="D19" s="52">
        <v>1.25</v>
      </c>
      <c r="E19">
        <v>13</v>
      </c>
    </row>
    <row r="20" spans="1:5" x14ac:dyDescent="0.25">
      <c r="B20" t="s">
        <v>121</v>
      </c>
      <c r="D20" s="52">
        <v>1.5</v>
      </c>
      <c r="E20">
        <v>10</v>
      </c>
    </row>
    <row r="21" spans="1:5" x14ac:dyDescent="0.25">
      <c r="B21" t="s">
        <v>122</v>
      </c>
      <c r="D21" s="52">
        <v>1.25</v>
      </c>
      <c r="E21">
        <v>9</v>
      </c>
    </row>
    <row r="24" spans="1:5" x14ac:dyDescent="0.25">
      <c r="B24" t="s">
        <v>128</v>
      </c>
      <c r="C24" t="s">
        <v>129</v>
      </c>
      <c r="D24" t="s">
        <v>130</v>
      </c>
    </row>
    <row r="26" spans="1:5" x14ac:dyDescent="0.25">
      <c r="B26" t="s">
        <v>123</v>
      </c>
      <c r="C26" t="s">
        <v>124</v>
      </c>
    </row>
    <row r="27" spans="1:5" x14ac:dyDescent="0.25">
      <c r="B27" t="s">
        <v>125</v>
      </c>
      <c r="C27" t="s">
        <v>9</v>
      </c>
    </row>
    <row r="28" spans="1:5" x14ac:dyDescent="0.25">
      <c r="B28" t="s">
        <v>126</v>
      </c>
      <c r="C28" t="s">
        <v>127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opLeftCell="S1" workbookViewId="0">
      <selection sqref="A1:R1048576"/>
    </sheetView>
  </sheetViews>
  <sheetFormatPr defaultRowHeight="15" x14ac:dyDescent="0.25"/>
  <cols>
    <col min="1" max="1" width="9.140625" hidden="1" customWidth="1"/>
    <col min="2" max="2" width="15.42578125" hidden="1" customWidth="1"/>
    <col min="3" max="18" width="9.140625" hidden="1" customWidth="1"/>
  </cols>
  <sheetData>
    <row r="1" spans="1:19" x14ac:dyDescent="0.25">
      <c r="S1" s="5" t="s">
        <v>76</v>
      </c>
    </row>
    <row r="2" spans="1:19" x14ac:dyDescent="0.25">
      <c r="A2" s="2"/>
      <c r="B2" s="2"/>
      <c r="C2" s="2"/>
      <c r="D2" s="2"/>
      <c r="E2" s="2"/>
      <c r="F2" s="2"/>
      <c r="G2" s="2"/>
      <c r="H2" s="2"/>
      <c r="I2" t="s">
        <v>78</v>
      </c>
    </row>
    <row r="3" spans="1:19" x14ac:dyDescent="0.25">
      <c r="A3" s="2"/>
      <c r="B3" s="2" t="s">
        <v>19</v>
      </c>
      <c r="C3" s="12" t="s">
        <v>20</v>
      </c>
      <c r="D3" s="2"/>
      <c r="E3" s="2" t="s">
        <v>17</v>
      </c>
      <c r="F3" s="2" t="s">
        <v>18</v>
      </c>
      <c r="G3" s="2"/>
      <c r="H3" s="2"/>
      <c r="I3" t="s">
        <v>47</v>
      </c>
      <c r="J3" t="s">
        <v>48</v>
      </c>
      <c r="K3" t="s">
        <v>49</v>
      </c>
      <c r="N3" t="s">
        <v>79</v>
      </c>
    </row>
    <row r="4" spans="1:19" x14ac:dyDescent="0.25">
      <c r="A4" s="2"/>
      <c r="B4" s="2" t="s">
        <v>55</v>
      </c>
      <c r="C4" s="2">
        <v>0</v>
      </c>
      <c r="D4" s="2"/>
      <c r="E4" s="2" t="s">
        <v>95</v>
      </c>
      <c r="F4" s="2">
        <v>5.0000000000000001E-3</v>
      </c>
      <c r="G4" s="2"/>
      <c r="H4" t="s">
        <v>54</v>
      </c>
      <c r="I4" s="17">
        <v>0.33</v>
      </c>
      <c r="J4" s="17">
        <v>0.54</v>
      </c>
      <c r="K4" s="17">
        <v>0.7</v>
      </c>
      <c r="N4" t="s">
        <v>47</v>
      </c>
      <c r="O4" t="s">
        <v>48</v>
      </c>
      <c r="P4" t="s">
        <v>49</v>
      </c>
      <c r="S4" s="17"/>
    </row>
    <row r="5" spans="1:19" x14ac:dyDescent="0.25">
      <c r="A5" s="2"/>
      <c r="B5" s="2" t="s">
        <v>29</v>
      </c>
      <c r="C5" s="2">
        <v>2.0000000000000001E-4</v>
      </c>
      <c r="D5" s="2"/>
      <c r="E5" s="2" t="s">
        <v>7</v>
      </c>
      <c r="F5" s="12">
        <v>0.01</v>
      </c>
      <c r="G5" s="2"/>
      <c r="H5" s="2" t="s">
        <v>1</v>
      </c>
      <c r="I5" s="12">
        <v>1.1000000000000001</v>
      </c>
      <c r="J5" s="17">
        <v>1.75</v>
      </c>
      <c r="K5" s="17">
        <v>2.2000000000000002</v>
      </c>
      <c r="M5">
        <v>1</v>
      </c>
      <c r="N5" s="17">
        <v>0.02</v>
      </c>
      <c r="O5" s="17">
        <v>2.5999999999999999E-2</v>
      </c>
      <c r="P5" s="17">
        <v>3.3000000000000002E-2</v>
      </c>
    </row>
    <row r="6" spans="1:19" x14ac:dyDescent="0.25">
      <c r="A6" s="2"/>
      <c r="B6" s="2" t="s">
        <v>28</v>
      </c>
      <c r="C6" s="2">
        <v>2.9999999999999997E-4</v>
      </c>
      <c r="D6" s="2"/>
      <c r="E6" s="2" t="s">
        <v>8</v>
      </c>
      <c r="F6" s="12">
        <v>1.4E-2</v>
      </c>
      <c r="G6" s="2"/>
      <c r="H6" s="2" t="s">
        <v>2</v>
      </c>
      <c r="I6" s="12">
        <v>2.5000000000000001E-2</v>
      </c>
      <c r="J6" s="17">
        <v>0.04</v>
      </c>
      <c r="K6" s="17">
        <v>5.5E-2</v>
      </c>
      <c r="M6">
        <v>2</v>
      </c>
      <c r="N6" s="17">
        <v>2.5999999999999999E-2</v>
      </c>
      <c r="O6" s="17">
        <v>4.2999999999999997E-2</v>
      </c>
      <c r="P6" s="17">
        <v>5.6000000000000001E-2</v>
      </c>
      <c r="S6" s="17"/>
    </row>
    <row r="7" spans="1:19" x14ac:dyDescent="0.25">
      <c r="A7" s="2"/>
      <c r="B7" s="2" t="s">
        <v>25</v>
      </c>
      <c r="C7" s="2">
        <v>8.9999999999999993E-3</v>
      </c>
      <c r="D7" s="2"/>
      <c r="E7" s="2" t="s">
        <v>9</v>
      </c>
      <c r="F7" s="12">
        <v>2.3E-2</v>
      </c>
      <c r="G7" s="2"/>
      <c r="H7" s="2" t="s">
        <v>3</v>
      </c>
      <c r="I7" s="12">
        <v>0.08</v>
      </c>
      <c r="J7" s="17">
        <v>0.13</v>
      </c>
      <c r="K7" s="17">
        <v>0.16</v>
      </c>
      <c r="M7">
        <v>3</v>
      </c>
      <c r="N7" s="17">
        <v>0.1</v>
      </c>
      <c r="O7" s="17">
        <v>0.158</v>
      </c>
      <c r="P7" s="17">
        <v>0.2</v>
      </c>
    </row>
    <row r="8" spans="1:19" x14ac:dyDescent="0.25">
      <c r="A8" s="2"/>
      <c r="B8" s="2" t="s">
        <v>27</v>
      </c>
      <c r="C8" s="2">
        <v>0.01</v>
      </c>
      <c r="D8" s="2"/>
      <c r="E8" s="2" t="s">
        <v>10</v>
      </c>
      <c r="F8" s="12">
        <v>0.03</v>
      </c>
      <c r="G8" s="2"/>
      <c r="H8" s="2" t="s">
        <v>4</v>
      </c>
      <c r="I8" s="12">
        <v>0.15</v>
      </c>
      <c r="J8" s="17">
        <v>0.23499999999999999</v>
      </c>
      <c r="K8" s="17">
        <v>0.3</v>
      </c>
      <c r="M8">
        <v>4</v>
      </c>
      <c r="N8" s="17">
        <v>0.108</v>
      </c>
      <c r="O8" s="17">
        <v>0.16</v>
      </c>
      <c r="P8" s="17">
        <v>0.21</v>
      </c>
    </row>
    <row r="9" spans="1:19" x14ac:dyDescent="0.25">
      <c r="A9" s="2"/>
      <c r="B9" s="2" t="s">
        <v>24</v>
      </c>
      <c r="C9" s="2">
        <v>1.2999999999999999E-2</v>
      </c>
      <c r="D9" s="2"/>
      <c r="E9" s="2" t="s">
        <v>11</v>
      </c>
      <c r="F9" s="12">
        <v>5.2999999999999999E-2</v>
      </c>
      <c r="G9" s="2"/>
      <c r="H9" s="2" t="s">
        <v>6</v>
      </c>
      <c r="I9" s="12">
        <v>0.27</v>
      </c>
      <c r="J9" s="17">
        <v>0.45</v>
      </c>
      <c r="K9" s="17">
        <v>0.56999999999999995</v>
      </c>
      <c r="M9">
        <v>5</v>
      </c>
      <c r="N9" s="17">
        <v>0.14000000000000001</v>
      </c>
      <c r="O9" s="17">
        <v>0.22</v>
      </c>
      <c r="P9" s="17">
        <v>0.28999999999999998</v>
      </c>
    </row>
    <row r="10" spans="1:19" x14ac:dyDescent="0.25">
      <c r="A10" s="2"/>
      <c r="B10" s="2" t="s">
        <v>23</v>
      </c>
      <c r="C10" s="2">
        <v>2.5000000000000001E-2</v>
      </c>
      <c r="D10" s="2"/>
      <c r="E10" s="2" t="s">
        <v>12</v>
      </c>
      <c r="F10" s="12">
        <v>7.0000000000000007E-2</v>
      </c>
      <c r="G10" s="2"/>
      <c r="H10" s="2" t="s">
        <v>77</v>
      </c>
      <c r="I10" s="12">
        <v>0.33</v>
      </c>
      <c r="J10" s="17">
        <v>0.54</v>
      </c>
      <c r="K10" s="17">
        <v>0.7</v>
      </c>
      <c r="M10">
        <v>6</v>
      </c>
      <c r="N10" s="17">
        <v>0.14499999999999999</v>
      </c>
      <c r="O10" s="17">
        <v>0.22500000000000001</v>
      </c>
      <c r="P10" s="17">
        <v>0.3</v>
      </c>
    </row>
    <row r="11" spans="1:19" x14ac:dyDescent="0.25">
      <c r="A11" s="2"/>
      <c r="B11" s="2" t="s">
        <v>22</v>
      </c>
      <c r="C11" s="2">
        <v>2.8000000000000001E-2</v>
      </c>
      <c r="D11" s="2"/>
      <c r="E11" s="2" t="s">
        <v>13</v>
      </c>
      <c r="F11" s="12">
        <v>0.09</v>
      </c>
      <c r="G11" s="2"/>
      <c r="H11" s="2"/>
      <c r="I11" s="2"/>
      <c r="J11" s="2"/>
    </row>
    <row r="12" spans="1:19" x14ac:dyDescent="0.25">
      <c r="A12" s="2"/>
      <c r="B12" s="2" t="s">
        <v>21</v>
      </c>
      <c r="C12" s="2">
        <v>2.9000000000000001E-2</v>
      </c>
      <c r="D12" s="2"/>
      <c r="E12" s="2" t="s">
        <v>85</v>
      </c>
      <c r="F12" s="12">
        <v>0.11</v>
      </c>
      <c r="G12" s="2"/>
      <c r="H12" s="2">
        <f>0.04/3.4</f>
        <v>1.1764705882352941E-2</v>
      </c>
      <c r="I12" s="2"/>
      <c r="J12" s="2"/>
      <c r="M12" s="52"/>
    </row>
    <row r="13" spans="1:19" x14ac:dyDescent="0.25">
      <c r="A13" s="2"/>
      <c r="B13" s="2" t="s">
        <v>26</v>
      </c>
      <c r="C13" s="2">
        <v>8.9999999999999993E-3</v>
      </c>
      <c r="D13" s="2"/>
      <c r="E13" s="2" t="s">
        <v>14</v>
      </c>
      <c r="F13" s="12">
        <v>0.14000000000000001</v>
      </c>
      <c r="G13" s="2"/>
      <c r="H13" s="2"/>
      <c r="I13" s="2"/>
      <c r="J13" s="2"/>
    </row>
    <row r="14" spans="1:19" x14ac:dyDescent="0.25">
      <c r="A14" s="2"/>
      <c r="B14" s="2"/>
      <c r="C14" s="2"/>
      <c r="D14" s="2"/>
      <c r="E14" s="2" t="s">
        <v>15</v>
      </c>
      <c r="F14" s="12">
        <v>0.2</v>
      </c>
      <c r="G14" s="2"/>
      <c r="H14" s="2"/>
      <c r="I14" s="2"/>
      <c r="J14" s="2"/>
    </row>
    <row r="15" spans="1:19" x14ac:dyDescent="0.25">
      <c r="A15" s="2"/>
      <c r="B15" s="2" t="s">
        <v>50</v>
      </c>
      <c r="C15" s="2"/>
      <c r="D15" s="2"/>
      <c r="E15" s="2" t="s">
        <v>16</v>
      </c>
      <c r="F15" s="12">
        <v>0.36</v>
      </c>
      <c r="G15" s="2"/>
      <c r="H15" s="2" t="s">
        <v>52</v>
      </c>
      <c r="I15" s="2"/>
      <c r="J15" s="2"/>
      <c r="K15" t="s">
        <v>65</v>
      </c>
      <c r="N15" t="s">
        <v>68</v>
      </c>
      <c r="Q15" t="s">
        <v>69</v>
      </c>
    </row>
    <row r="16" spans="1:19" x14ac:dyDescent="0.25">
      <c r="A16" s="2"/>
      <c r="B16" s="2" t="s">
        <v>32</v>
      </c>
      <c r="C16" s="2" t="s">
        <v>0</v>
      </c>
      <c r="D16" s="2"/>
      <c r="E16" s="2"/>
      <c r="F16" s="2"/>
      <c r="G16" s="2"/>
      <c r="H16" s="2" t="s">
        <v>32</v>
      </c>
      <c r="I16" s="2" t="s">
        <v>0</v>
      </c>
      <c r="J16" s="2"/>
      <c r="K16" s="2" t="s">
        <v>66</v>
      </c>
      <c r="L16" s="2" t="s">
        <v>67</v>
      </c>
      <c r="N16" s="2" t="s">
        <v>66</v>
      </c>
      <c r="O16" s="2" t="s">
        <v>67</v>
      </c>
      <c r="Q16" s="2" t="s">
        <v>66</v>
      </c>
      <c r="R16" s="2" t="s">
        <v>67</v>
      </c>
    </row>
    <row r="17" spans="1:18" x14ac:dyDescent="0.25">
      <c r="A17" s="2"/>
      <c r="B17" s="2">
        <v>0</v>
      </c>
      <c r="C17" s="2" t="s">
        <v>2</v>
      </c>
      <c r="D17" s="2"/>
      <c r="E17" s="2" t="s">
        <v>51</v>
      </c>
      <c r="F17" s="2"/>
      <c r="G17" s="2"/>
      <c r="H17" s="2">
        <v>0</v>
      </c>
      <c r="I17" s="2" t="s">
        <v>2</v>
      </c>
      <c r="J17" s="2"/>
      <c r="K17">
        <v>0</v>
      </c>
      <c r="L17">
        <v>1</v>
      </c>
      <c r="N17">
        <v>0</v>
      </c>
      <c r="O17">
        <v>1</v>
      </c>
      <c r="Q17">
        <v>0</v>
      </c>
      <c r="R17">
        <v>1</v>
      </c>
    </row>
    <row r="18" spans="1:18" x14ac:dyDescent="0.25">
      <c r="A18" s="2"/>
      <c r="B18" s="2">
        <v>2.5999999999999999E-2</v>
      </c>
      <c r="C18" s="2" t="s">
        <v>3</v>
      </c>
      <c r="D18" s="2"/>
      <c r="E18" s="2" t="s">
        <v>32</v>
      </c>
      <c r="F18" s="2" t="s">
        <v>0</v>
      </c>
      <c r="G18" s="2"/>
      <c r="H18" s="2">
        <v>5.6000000000000001E-2</v>
      </c>
      <c r="I18" s="2" t="s">
        <v>3</v>
      </c>
      <c r="J18" s="2"/>
      <c r="K18">
        <v>2.1000000000000001E-2</v>
      </c>
      <c r="L18">
        <v>2</v>
      </c>
      <c r="N18">
        <v>2.7E-2</v>
      </c>
      <c r="O18">
        <v>2</v>
      </c>
      <c r="Q18">
        <v>3.4000000000000002E-2</v>
      </c>
      <c r="R18">
        <v>2</v>
      </c>
    </row>
    <row r="19" spans="1:18" x14ac:dyDescent="0.25">
      <c r="A19" s="2"/>
      <c r="B19" s="2">
        <v>8.1000000000000003E-2</v>
      </c>
      <c r="C19" s="2" t="s">
        <v>4</v>
      </c>
      <c r="D19" s="2"/>
      <c r="E19" s="2">
        <v>0</v>
      </c>
      <c r="F19" s="2" t="s">
        <v>2</v>
      </c>
      <c r="G19" s="2"/>
      <c r="H19" s="2">
        <v>0.161</v>
      </c>
      <c r="I19" s="2" t="s">
        <v>4</v>
      </c>
      <c r="J19" s="2"/>
      <c r="K19">
        <v>2.7E-2</v>
      </c>
      <c r="L19">
        <v>3</v>
      </c>
      <c r="N19">
        <v>4.3999999999999997E-2</v>
      </c>
      <c r="O19">
        <v>3</v>
      </c>
      <c r="Q19">
        <v>5.7000000000000002E-2</v>
      </c>
      <c r="R19">
        <v>3</v>
      </c>
    </row>
    <row r="20" spans="1:18" x14ac:dyDescent="0.25">
      <c r="A20" s="2"/>
      <c r="B20" s="2">
        <v>0.151</v>
      </c>
      <c r="C20" s="2" t="s">
        <v>6</v>
      </c>
      <c r="D20" s="2"/>
      <c r="E20" s="2">
        <v>4.1000000000000002E-2</v>
      </c>
      <c r="F20" s="2" t="s">
        <v>3</v>
      </c>
      <c r="G20" s="2"/>
      <c r="H20" s="2">
        <v>0.30099999999999999</v>
      </c>
      <c r="I20" s="2" t="s">
        <v>6</v>
      </c>
      <c r="J20" s="2"/>
      <c r="K20">
        <v>0.10100000000000001</v>
      </c>
      <c r="L20">
        <v>4</v>
      </c>
      <c r="N20">
        <v>0.159</v>
      </c>
      <c r="O20">
        <v>4</v>
      </c>
      <c r="Q20">
        <v>0.20100000000000001</v>
      </c>
      <c r="R20">
        <v>4</v>
      </c>
    </row>
    <row r="21" spans="1:18" x14ac:dyDescent="0.25">
      <c r="A21" s="2"/>
      <c r="B21" s="2">
        <v>0.27100000000000002</v>
      </c>
      <c r="C21" s="2" t="s">
        <v>31</v>
      </c>
      <c r="D21" s="2"/>
      <c r="E21" s="2">
        <v>0.13100000000000001</v>
      </c>
      <c r="F21" s="2" t="s">
        <v>4</v>
      </c>
      <c r="G21" s="2"/>
      <c r="H21" s="2">
        <v>0.57099999999999995</v>
      </c>
      <c r="I21" s="2" t="s">
        <v>31</v>
      </c>
      <c r="J21" s="2"/>
      <c r="K21">
        <v>0.109</v>
      </c>
      <c r="L21">
        <v>5</v>
      </c>
      <c r="N21">
        <v>0.161</v>
      </c>
      <c r="O21">
        <v>5</v>
      </c>
      <c r="Q21">
        <v>0.21099999999999999</v>
      </c>
      <c r="R21">
        <v>5</v>
      </c>
    </row>
    <row r="22" spans="1:18" x14ac:dyDescent="0.25">
      <c r="A22" s="2"/>
      <c r="B22" s="2"/>
      <c r="C22" s="2"/>
      <c r="D22" s="2"/>
      <c r="E22" s="2">
        <v>0.23599999999999999</v>
      </c>
      <c r="F22" s="2" t="s">
        <v>6</v>
      </c>
      <c r="G22" s="2"/>
      <c r="H22" s="2"/>
      <c r="I22" s="2"/>
      <c r="J22" s="2"/>
      <c r="K22">
        <v>0.14099999999999999</v>
      </c>
      <c r="L22">
        <v>6</v>
      </c>
      <c r="N22">
        <v>0.221</v>
      </c>
      <c r="O22">
        <v>6</v>
      </c>
      <c r="Q22">
        <v>0.29099999999999998</v>
      </c>
      <c r="R22">
        <v>6</v>
      </c>
    </row>
    <row r="23" spans="1:18" x14ac:dyDescent="0.25">
      <c r="A23" s="2"/>
      <c r="B23" s="2"/>
      <c r="C23" s="2"/>
      <c r="D23" s="2"/>
      <c r="E23" s="2">
        <v>0.45100000000000001</v>
      </c>
      <c r="F23" s="2" t="s">
        <v>31</v>
      </c>
      <c r="G23" s="2"/>
      <c r="H23" s="2"/>
      <c r="I23" s="2"/>
      <c r="J23" s="2"/>
    </row>
    <row r="24" spans="1:18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8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8" x14ac:dyDescent="0.25">
      <c r="A26" s="2"/>
      <c r="B26" s="2"/>
      <c r="C26" s="2"/>
      <c r="D26" s="2"/>
      <c r="E26" s="2" t="s">
        <v>53</v>
      </c>
      <c r="F26" s="2"/>
      <c r="G26" s="2"/>
      <c r="H26" s="2"/>
      <c r="I26" s="2"/>
      <c r="J26" s="2"/>
    </row>
    <row r="27" spans="1:18" x14ac:dyDescent="0.25">
      <c r="A27" s="2"/>
      <c r="B27" s="2"/>
      <c r="C27" s="2"/>
      <c r="D27" s="2"/>
      <c r="E27" s="2"/>
      <c r="F27" s="2" t="s">
        <v>54</v>
      </c>
      <c r="G27" s="2" t="s">
        <v>1</v>
      </c>
      <c r="H27" s="2"/>
      <c r="I27" s="2"/>
      <c r="J27" s="2"/>
    </row>
    <row r="28" spans="1:18" x14ac:dyDescent="0.25">
      <c r="A28" s="2"/>
      <c r="B28" s="2"/>
      <c r="C28" s="2"/>
      <c r="D28" s="2"/>
      <c r="E28" s="2" t="s">
        <v>47</v>
      </c>
      <c r="F28" s="2">
        <v>0.33</v>
      </c>
      <c r="G28" s="2">
        <v>1.1000000000000001</v>
      </c>
      <c r="H28" s="2"/>
      <c r="I28" s="2"/>
      <c r="J28" s="2"/>
    </row>
    <row r="29" spans="1:18" x14ac:dyDescent="0.25">
      <c r="E29" s="2" t="s">
        <v>48</v>
      </c>
      <c r="F29" s="2">
        <v>0.54</v>
      </c>
      <c r="G29" s="2">
        <v>1.75</v>
      </c>
    </row>
    <row r="30" spans="1:18" x14ac:dyDescent="0.25">
      <c r="E30" s="2" t="s">
        <v>49</v>
      </c>
      <c r="F30" s="2">
        <v>0.7</v>
      </c>
      <c r="G30" s="2">
        <v>2.2000000000000002</v>
      </c>
    </row>
    <row r="31" spans="1:18" x14ac:dyDescent="0.25">
      <c r="B31" s="5"/>
      <c r="C31" s="5"/>
    </row>
    <row r="40" spans="2:3" x14ac:dyDescent="0.25">
      <c r="B40" s="5"/>
      <c r="C40" s="5"/>
    </row>
  </sheetData>
  <sheetProtection password="DD49" sheet="1" objects="1" scenarios="1" selectLockedCells="1"/>
  <sortState ref="B4:C13">
    <sortCondition ref="C4:C1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13</vt:i4>
      </vt:variant>
    </vt:vector>
  </HeadingPairs>
  <TitlesOfParts>
    <vt:vector size="18" baseType="lpstr">
      <vt:lpstr>Worksheet</vt:lpstr>
      <vt:lpstr>Recommendations Gorton</vt:lpstr>
      <vt:lpstr>Recommendations Hoffman1A</vt:lpstr>
      <vt:lpstr>Notes</vt:lpstr>
      <vt:lpstr>Tables (Gill &amp; Pajek)</vt:lpstr>
      <vt:lpstr>CFM_PipeLinFoot</vt:lpstr>
      <vt:lpstr>CFM_Vent_Lookup_1oz</vt:lpstr>
      <vt:lpstr>CFM_Vent_Lookup_2oz</vt:lpstr>
      <vt:lpstr>CFM_Vent_Lookup_3oz</vt:lpstr>
      <vt:lpstr>CFM_Vent_Lookup_Hoff1A_1oz</vt:lpstr>
      <vt:lpstr>CFM_Vent_Lookup_Hoff1A_2oz</vt:lpstr>
      <vt:lpstr>CFM_Vent_Lookup_Hoff1A_3oz</vt:lpstr>
      <vt:lpstr>Gorton_Caps</vt:lpstr>
      <vt:lpstr>Hoffman_Caps</vt:lpstr>
      <vt:lpstr>Pipe_Size</vt:lpstr>
      <vt:lpstr>Worksheet!Print_Area</vt:lpstr>
      <vt:lpstr>RadType</vt:lpstr>
      <vt:lpstr>RadType_LU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JPF</dc:creator>
  <cp:lastModifiedBy>Dan</cp:lastModifiedBy>
  <cp:lastPrinted>2010-01-07T08:00:13Z</cp:lastPrinted>
  <dcterms:created xsi:type="dcterms:W3CDTF">2009-11-25T16:33:17Z</dcterms:created>
  <dcterms:modified xsi:type="dcterms:W3CDTF">2015-10-20T23:50:47Z</dcterms:modified>
</cp:coreProperties>
</file>